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_rels/sheet5.xml.rels" ContentType="application/vnd.openxmlformats-package.relationships+xml"/>
  <Override PartName="/xl/worksheets/_rels/sheet2.xml.rels" ContentType="application/vnd.openxmlformats-package.relationships+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Override PartName="/xl/comments2.xml" ContentType="application/vnd.openxmlformats-officedocument.spreadsheetml.comments+xml"/>
  <Override PartName="/xl/drawings/_rels/drawing2.xml.rels" ContentType="application/vnd.openxmlformats-package.relationships+xml"/>
  <Override PartName="/xl/drawings/_rels/drawing1.xml.rels" ContentType="application/vnd.openxmlformats-package.relationships+xml"/>
  <Override PartName="/xl/drawings/drawing1.xml" ContentType="application/vnd.openxmlformats-officedocument.drawing+xml"/>
  <Override PartName="/xl/drawings/vmlDrawing1.vml" ContentType="application/vnd.openxmlformats-officedocument.vmlDrawing"/>
  <Override PartName="/xl/drawings/drawing2.xml" ContentType="application/vnd.openxmlformats-officedocument.drawing+xml"/>
  <Override PartName="/xl/drawings/vmlDrawing2.vml" ContentType="application/vnd.openxmlformats-officedocument.vmlDrawing"/>
  <Override PartName="/xl/charts/chart1.xml" ContentType="application/vnd.openxmlformats-officedocument.drawingml.chart+xml"/>
  <Override PartName="/xl/charts/chart2.xml" ContentType="application/vnd.openxmlformats-officedocument.drawingml.chart+xml"/>
  <Override PartName="/xl/comments5.xml" ContentType="application/vnd.openxmlformats-officedocument.spreadsheetml.comment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1"/>
  </bookViews>
  <sheets>
    <sheet name="README" sheetId="1" state="visible" r:id="rId3"/>
    <sheet name="Dashboard" sheetId="2" state="visible" r:id="rId4"/>
    <sheet name="Status_Report" sheetId="3" state="visible" r:id="rId5"/>
    <sheet name="Schedule" sheetId="4" state="visible" r:id="rId6"/>
    <sheet name="Budget" sheetId="5" state="visible" r:id="rId7"/>
    <sheet name="ChangeOrders" sheetId="6" state="visible" r:id="rId8"/>
    <sheet name="RFI_Submittals" sheetId="7" state="visible" r:id="rId9"/>
    <sheet name="RAID_Log" sheetId="8" state="visible" r:id="rId10"/>
    <sheet name="Action_Items" sheetId="9" state="visible" r:id="rId11"/>
    <sheet name="Lists" sheetId="10" state="visible" r:id="rId12"/>
  </sheets>
  <definedNames>
    <definedName function="false" hidden="false" localSheetId="2" name="_xlnm.Print_Area" vbProcedure="false">Status_Report!$B$2:$D$38</definedName>
    <definedName function="false" hidden="false" name="AsOf" vbProcedure="false">Dashboard!$C$4</definedName>
  </definedNames>
  <calcPr iterateCount="100" refMode="A1" iterate="false" iterateDelta="0.0001" fullCalcOnLoad="1"/>
  <extLst>
    <ext xmlns:loext="http://schemas.libreoffice.org/" uri="{7626C862-2A13-11E5-B345-FEFF819CDC9F}">
      <loext:extCalcPr stringRefSyntax="ExcelA1"/>
    </ext>
  </extLst>
</workbook>
</file>

<file path=xl/comments2.xml><?xml version="1.0" encoding="utf-8"?>
<comments xmlns="http://schemas.openxmlformats.org/spreadsheetml/2006/main" xmlns:xdr="http://schemas.openxmlformats.org/drawingml/2006/spreadsheetDrawing">
  <authors>
    <author>Unknown Author</author>
  </authors>
  <commentList>
    <comment ref="C4" authorId="0">
      <text>
        <r>
          <rPr>
            <sz val="10"/>
            <rFont val="Arial"/>
            <family val="2"/>
          </rPr>
          <t xml:space="preserve">Change this date to re-run every status calculation. For live use, type =TODAY().</t>
        </r>
      </text>
    </comment>
  </commentList>
</comments>
</file>

<file path=xl/comments5.xml><?xml version="1.0" encoding="utf-8"?>
<comments xmlns="http://schemas.openxmlformats.org/spreadsheetml/2006/main" xmlns:xdr="http://schemas.openxmlformats.org/drawingml/2006/spreadsheetDrawing">
  <authors>
    <author>Unknown Author</author>
  </authors>
  <commentList>
    <comment ref="G13" authorId="0">
      <text>
        <r>
          <rPr>
            <sz val="10"/>
            <rFont val="Arial"/>
            <family val="2"/>
          </rPr>
          <t xml:space="preserve">Contingency forecast = value of change orders still pending approval.</t>
        </r>
      </text>
    </comment>
  </commentList>
</comments>
</file>

<file path=xl/sharedStrings.xml><?xml version="1.0" encoding="utf-8"?>
<sst xmlns="http://schemas.openxmlformats.org/spreadsheetml/2006/main" count="606" uniqueCount="374">
  <si>
    <t xml:space="preserve">Project Control Workbook: Office Build-Out &amp; Move</t>
  </si>
  <si>
    <t xml:space="preserve">Built by Adam J. Asifo (Claude by Anthropic assisted with formulas and testing) · adamjasifo@gmail.com</t>
  </si>
  <si>
    <t xml:space="preserve">What this is</t>
  </si>
  <si>
    <t xml:space="preserve">One file that runs a sample office renovation and a 45-person move. It tracks the schedule, the budget, open questions, risks and to-dos, and it writes the weekly status report for you.</t>
  </si>
  <si>
    <t xml:space="preserve">Why build it this way: I can do this math by hand for one task. With 31 tasks, 8 budget lines and 4 logs, it's easy to slip, so the rules are built in and the answer is the same every week.</t>
  </si>
  <si>
    <t xml:space="preserve">Start here: you only need these 4 things</t>
  </si>
  <si>
    <t xml:space="preserve">Don't get overwhelmed. Most of this file fills itself in. These are the only places you type or pick something; everything else updates on its own.</t>
  </si>
  <si>
    <t xml:space="preserve">Where</t>
  </si>
  <si>
    <t xml:space="preserve">What you do</t>
  </si>
  <si>
    <t xml:space="preserve">What happens</t>
  </si>
  <si>
    <t xml:space="preserve">Dashboard → cell C4 (Status date)</t>
  </si>
  <si>
    <t xml:space="preserve">Type a date, for example 11/20/2026.</t>
  </si>
  <si>
    <t xml:space="preserve">Every task status, the project color and every number re-check as of that day.</t>
  </si>
  <si>
    <t xml:space="preserve">Schedule → column I (% Complete)</t>
  </si>
  <si>
    <t xml:space="preserve">Type how far along a task is, for example 50%.</t>
  </si>
  <si>
    <t xml:space="preserve">That task's status, its Gantt bar color, the phase summary and the Dashboard all update.</t>
  </si>
  <si>
    <t xml:space="preserve">ChangeOrders → column H (Status)</t>
  </si>
  <si>
    <t xml:space="preserve">Pick Pending, Approved or Rejected from the drop-down.</t>
  </si>
  <si>
    <t xml:space="preserve">Approved costs move into the Budget tab and come out of the contingency cushion.</t>
  </si>
  <si>
    <t xml:space="preserve">Status_Report</t>
  </si>
  <si>
    <t xml:space="preserve">Nothing to type. Read it, or copy it into an email.</t>
  </si>
  <si>
    <t xml:space="preserve">Every sentence is written from the numbers in the other tabs.</t>
  </si>
  <si>
    <t xml:space="preserve">Yellow cells = you type or pick from a list. Cells with a small arrow have a drop-down menu: click the cell, then the arrow, and pick a word. White cells are formulas, so leave them alone.</t>
  </si>
  <si>
    <t xml:space="preserve">What each tab is for</t>
  </si>
  <si>
    <t xml:space="preserve">Dashboard</t>
  </si>
  <si>
    <t xml:space="preserve">One page: overall color and why, key numbers, phase summary, upcoming milestones, top risks.</t>
  </si>
  <si>
    <t xml:space="preserve">The Friday status email, written by formulas.</t>
  </si>
  <si>
    <t xml:space="preserve">Schedule</t>
  </si>
  <si>
    <t xml:space="preserve">31 tasks in 6 phases: dates, % complete, status and a Gantt chart that colors itself.</t>
  </si>
  <si>
    <t xml:space="preserve">Budget</t>
  </si>
  <si>
    <t xml:space="preserve">8 budget lines: baseline, approved change orders, actual spend and forecast.</t>
  </si>
  <si>
    <t xml:space="preserve">ChangeOrders</t>
  </si>
  <si>
    <t xml:space="preserve">Requests for extra money, and what was decided. Totals are in the box on the right.</t>
  </si>
  <si>
    <t xml:space="preserve">RFI_Submittals</t>
  </si>
  <si>
    <t xml:space="preserve">Questions sent to the architect and product approvals, with due dates and an Overdue flag.</t>
  </si>
  <si>
    <t xml:space="preserve">RAID_Log</t>
  </si>
  <si>
    <t xml:space="preserve">Risks, Assumptions, Issues and Decisions. Risks and issues get a 1–5 score.</t>
  </si>
  <si>
    <t xml:space="preserve">Action_Items</t>
  </si>
  <si>
    <t xml:space="preserve">To-dos from meetings, with owner, due date and status.</t>
  </si>
  <si>
    <t xml:space="preserve">Lists</t>
  </si>
  <si>
    <t xml:space="preserve">The choices in every drop-down. Add a word here and it shows up in the menus.</t>
  </si>
  <si>
    <t xml:space="preserve">Try it (1 minute)</t>
  </si>
  <si>
    <t xml:space="preserve">1. Go to the Dashboard and change cell C4 to 11/20/2026.</t>
  </si>
  <si>
    <t xml:space="preserve">2. Nothing else was updated, so 11 tasks turn Late and the project turns Red.</t>
  </si>
  <si>
    <t xml:space="preserve">3. Look at the 'Why this color?' box under the color. It shows exactly which rule was hit.</t>
  </si>
  <si>
    <t xml:space="preserve">To undo, press Ctrl+Z (Cmd+Z on a Mac).</t>
  </si>
  <si>
    <t xml:space="preserve">Good to know</t>
  </si>
  <si>
    <t xml:space="preserve">• Blank on purpose: Probability and Impact for Assumption and Decision rows (only risks and issues are scored), Response Date for RFIs that haven't been answered yet, and empty Notes cells.</t>
  </si>
  <si>
    <t xml:space="preserve">• To add a task, RFI, risk, change order or action, type on the next empty row. The formulas are already there (down to row 60).</t>
  </si>
  <si>
    <t xml:space="preserve">• The two rules that matter most: a task is At Risk when it's more than 15 points behind where it should be, and Late when it's past its finish date and not done. The project color rules are written under the color on the Dashboard.</t>
  </si>
  <si>
    <t xml:space="preserve">• Works in Excel 2010 or newer (Windows or Mac), Excel online and Google Sheets. Formulas only, no macros, so no security warnings.</t>
  </si>
  <si>
    <t xml:space="preserve">• All companies, people, dates and dollar amounts are fictional sample data.</t>
  </si>
  <si>
    <t xml:space="preserve">Suite 300 Build-Out &amp; Office Move — Project Dashboard</t>
  </si>
  <si>
    <t xml:space="preserve">Sample project with fictional data. Everything on this page is calculated from the other tabs.</t>
  </si>
  <si>
    <t xml:space="preserve">Status date</t>
  </si>
  <si>
    <t xml:space="preserve">Project</t>
  </si>
  <si>
    <t xml:space="preserve">Relocate a 45-person team into a renovated 6,000 sq ft suite (Columbia, MD) by Dec 14</t>
  </si>
  <si>
    <t xml:space="preserve">OVERALL HEALTH</t>
  </si>
  <si>
    <t xml:space="preserve">% Complete (weighted)</t>
  </si>
  <si>
    <t xml:space="preserve">Planned % by status date</t>
  </si>
  <si>
    <t xml:space="preserve">Tasks late</t>
  </si>
  <si>
    <t xml:space="preserve">Open high risks / issues</t>
  </si>
  <si>
    <t xml:space="preserve">Red = 3+ late tasks, over budget overall, or 3+ open high risks. Amber = any late task, any budget line over, or any open high risk. Otherwise Green.</t>
  </si>
  <si>
    <t xml:space="preserve">Revised budget</t>
  </si>
  <si>
    <t xml:space="preserve">Forecast at completion</t>
  </si>
  <si>
    <t xml:space="preserve">Variance (+ under)</t>
  </si>
  <si>
    <t xml:space="preserve">Contingency left</t>
  </si>
  <si>
    <t xml:space="preserve">Why this color?</t>
  </si>
  <si>
    <t xml:space="preserve">Late tasks</t>
  </si>
  <si>
    <t xml:space="preserve">Over budget?</t>
  </si>
  <si>
    <t xml:space="preserve">Budget lines over</t>
  </si>
  <si>
    <t xml:space="preserve">Open / overdue RFIs</t>
  </si>
  <si>
    <t xml:space="preserve">Pending change orders</t>
  </si>
  <si>
    <t xml:space="preserve">Overdue actions</t>
  </si>
  <si>
    <t xml:space="preserve">Days to move-in day</t>
  </si>
  <si>
    <t xml:space="preserve">Open high risks</t>
  </si>
  <si>
    <t xml:space="preserve">Phase summary</t>
  </si>
  <si>
    <t xml:space="preserve">Phase</t>
  </si>
  <si>
    <t xml:space="preserve">Tasks</t>
  </si>
  <si>
    <t xml:space="preserve">% Complete</t>
  </si>
  <si>
    <t xml:space="preserve">Start</t>
  </si>
  <si>
    <t xml:space="preserve">Finish</t>
  </si>
  <si>
    <t xml:space="preserve">Late</t>
  </si>
  <si>
    <t xml:space="preserve">At Risk</t>
  </si>
  <si>
    <t xml:space="preserve">Status</t>
  </si>
  <si>
    <t xml:space="preserve">1 Initiation</t>
  </si>
  <si>
    <t xml:space="preserve">2 Design &amp; Permits</t>
  </si>
  <si>
    <t xml:space="preserve">3 Construction</t>
  </si>
  <si>
    <t xml:space="preserve">4 IT &amp; Low-Voltage</t>
  </si>
  <si>
    <t xml:space="preserve">5 Furniture &amp; Move</t>
  </si>
  <si>
    <t xml:space="preserve">6 Closeout</t>
  </si>
  <si>
    <t xml:space="preserve">Milestones due in the next 60 days</t>
  </si>
  <si>
    <t xml:space="preserve">Top open risks &amp; issues</t>
  </si>
  <si>
    <t xml:space="preserve">Milestone</t>
  </si>
  <si>
    <t xml:space="preserve">Due</t>
  </si>
  <si>
    <t xml:space="preserve">ID</t>
  </si>
  <si>
    <t xml:space="preserve">Description</t>
  </si>
  <si>
    <t xml:space="preserve">Score</t>
  </si>
  <si>
    <t xml:space="preserve">Task status mix</t>
  </si>
  <si>
    <t xml:space="preserve">Complete</t>
  </si>
  <si>
    <t xml:space="preserve">On Track</t>
  </si>
  <si>
    <t xml:space="preserve">Not Started</t>
  </si>
  <si>
    <t xml:space="preserve">Weekly Status Report — Suite 300 Build-Out &amp; Move</t>
  </si>
  <si>
    <t xml:space="preserve">Overall health</t>
  </si>
  <si>
    <t xml:space="preserve">Summary</t>
  </si>
  <si>
    <t xml:space="preserve">Completed in the last 7 days</t>
  </si>
  <si>
    <t xml:space="preserve">Late or at risk — needs attention</t>
  </si>
  <si>
    <t xml:space="preserve">Upcoming milestones (next 60 days)</t>
  </si>
  <si>
    <t xml:space="preserve">Top risks &amp; issues</t>
  </si>
  <si>
    <t xml:space="preserve">Decisions needed from sponsor</t>
  </si>
  <si>
    <t xml:space="preserve">Overdue action items</t>
  </si>
  <si>
    <t xml:space="preserve">Schedule &amp; Gantt</t>
  </si>
  <si>
    <t xml:space="preserve">Enter Start, Duration (workdays) and % Complete. Finish, Planned %, Status and the Gantt bars calculate automatically.</t>
  </si>
  <si>
    <t xml:space="preserve">Yellow cells = you type or pick from a list here.  White cells fill themselves in (don't type over them).</t>
  </si>
  <si>
    <t xml:space="preserve">Gantt key: blue = scheduled · navy = milestone · amber = at risk · red = late · grey = complete · yellow column = status week</t>
  </si>
  <si>
    <t xml:space="preserve">Task</t>
  </si>
  <si>
    <t xml:space="preserve">Owner</t>
  </si>
  <si>
    <t xml:space="preserve">Duration (workdays)</t>
  </si>
  <si>
    <t xml:space="preserve">Milestone?</t>
  </si>
  <si>
    <t xml:space="preserve">Planned % (by status date)</t>
  </si>
  <si>
    <t xml:space="preserve">Days Late</t>
  </si>
  <si>
    <t xml:space="preserve">Notes</t>
  </si>
  <si>
    <t xml:space="preserve">helper: upcoming</t>
  </si>
  <si>
    <t xml:space="preserve">helper: done this wk</t>
  </si>
  <si>
    <t xml:space="preserve">helper: attention</t>
  </si>
  <si>
    <t xml:space="preserve">T01</t>
  </si>
  <si>
    <t xml:space="preserve">Kickoff meeting &amp; charter sign-off</t>
  </si>
  <si>
    <t xml:space="preserve">Project Manager</t>
  </si>
  <si>
    <t xml:space="preserve">Y</t>
  </si>
  <si>
    <t xml:space="preserve">T02</t>
  </si>
  <si>
    <t xml:space="preserve">Requirements walk-through with department leads</t>
  </si>
  <si>
    <t xml:space="preserve">Project Coordinator</t>
  </si>
  <si>
    <t xml:space="preserve">N</t>
  </si>
  <si>
    <t xml:space="preserve">Headcount, seating, storage, IT needs per team</t>
  </si>
  <si>
    <t xml:space="preserve">T03</t>
  </si>
  <si>
    <t xml:space="preserve">Baseline schedule &amp; budget approved</t>
  </si>
  <si>
    <t xml:space="preserve">T04</t>
  </si>
  <si>
    <t xml:space="preserve">Staff communication plan (weekly updates)</t>
  </si>
  <si>
    <t xml:space="preserve">Friday email + FAQ page</t>
  </si>
  <si>
    <t xml:space="preserve">T05</t>
  </si>
  <si>
    <t xml:space="preserve">Space plan &amp; test fit</t>
  </si>
  <si>
    <t xml:space="preserve">Architect</t>
  </si>
  <si>
    <t xml:space="preserve">T06</t>
  </si>
  <si>
    <t xml:space="preserve">Construction drawings issued</t>
  </si>
  <si>
    <t xml:space="preserve">T07</t>
  </si>
  <si>
    <t xml:space="preserve">Landlord approval of plans</t>
  </si>
  <si>
    <t xml:space="preserve">Facilities</t>
  </si>
  <si>
    <t xml:space="preserve">T08</t>
  </si>
  <si>
    <t xml:space="preserve">Building permit submitted &amp; approved</t>
  </si>
  <si>
    <t xml:space="preserve">General Contractor</t>
  </si>
  <si>
    <t xml:space="preserve">T09</t>
  </si>
  <si>
    <t xml:space="preserve">Demolition</t>
  </si>
  <si>
    <t xml:space="preserve">Started after permit; floor-leveling issue found (I-01)</t>
  </si>
  <si>
    <t xml:space="preserve">T10</t>
  </si>
  <si>
    <t xml:space="preserve">Framing &amp; new walls</t>
  </si>
  <si>
    <t xml:space="preserve">T11</t>
  </si>
  <si>
    <t xml:space="preserve">Electrical rough-in</t>
  </si>
  <si>
    <t xml:space="preserve">T12</t>
  </si>
  <si>
    <t xml:space="preserve">HVAC modifications</t>
  </si>
  <si>
    <t xml:space="preserve">T13</t>
  </si>
  <si>
    <t xml:space="preserve">Rough-in inspections passed</t>
  </si>
  <si>
    <t xml:space="preserve">T14</t>
  </si>
  <si>
    <t xml:space="preserve">Drywall, tape &amp; finish</t>
  </si>
  <si>
    <t xml:space="preserve">T15</t>
  </si>
  <si>
    <t xml:space="preserve">Paint &amp; ceilings</t>
  </si>
  <si>
    <t xml:space="preserve">T16</t>
  </si>
  <si>
    <t xml:space="preserve">Flooring</t>
  </si>
  <si>
    <t xml:space="preserve">T17</t>
  </si>
  <si>
    <t xml:space="preserve">Final inspection &amp; certificate of occupancy</t>
  </si>
  <si>
    <t xml:space="preserve">Must pass before move weekend</t>
  </si>
  <si>
    <t xml:space="preserve">T18</t>
  </si>
  <si>
    <t xml:space="preserve">ISP circuit ordered &amp; install date confirmed</t>
  </si>
  <si>
    <t xml:space="preserve">IT Lead</t>
  </si>
  <si>
    <t xml:space="preserve">Carrier has not confirmed a date (R-01)</t>
  </si>
  <si>
    <t xml:space="preserve">T19</t>
  </si>
  <si>
    <t xml:space="preserve">Network &amp; AV design</t>
  </si>
  <si>
    <t xml:space="preserve">T20</t>
  </si>
  <si>
    <t xml:space="preserve">Low-voltage cabling vendor awarded</t>
  </si>
  <si>
    <t xml:space="preserve">T21</t>
  </si>
  <si>
    <t xml:space="preserve">Data cabling rough-in</t>
  </si>
  <si>
    <t xml:space="preserve">Cabling Vendor</t>
  </si>
  <si>
    <t xml:space="preserve">T22</t>
  </si>
  <si>
    <t xml:space="preserve">Switches, Wi-Fi APs &amp; firewall installed</t>
  </si>
  <si>
    <t xml:space="preserve">T23</t>
  </si>
  <si>
    <t xml:space="preserve">Network &amp; AV testing sign-off</t>
  </si>
  <si>
    <t xml:space="preserve">T24</t>
  </si>
  <si>
    <t xml:space="preserve">Furniture vendor selected &amp; PO issued</t>
  </si>
  <si>
    <t xml:space="preserve">Quotes 4% over budget; awaiting approval</t>
  </si>
  <si>
    <t xml:space="preserve">T25</t>
  </si>
  <si>
    <t xml:space="preserve">Moving company contracted</t>
  </si>
  <si>
    <t xml:space="preserve">First quote expired; re-bidding (I-02)</t>
  </si>
  <si>
    <t xml:space="preserve">T26</t>
  </si>
  <si>
    <t xml:space="preserve">Label plan &amp; staff packing guide distributed</t>
  </si>
  <si>
    <t xml:space="preserve">T27</t>
  </si>
  <si>
    <t xml:space="preserve">Furniture delivery &amp; install</t>
  </si>
  <si>
    <t xml:space="preserve">Furniture Vendor</t>
  </si>
  <si>
    <t xml:space="preserve">T28</t>
  </si>
  <si>
    <t xml:space="preserve">Move weekend</t>
  </si>
  <si>
    <t xml:space="preserve">Mover</t>
  </si>
  <si>
    <t xml:space="preserve">Fri evening pack-out, Mon day one</t>
  </si>
  <si>
    <t xml:space="preserve">T29</t>
  </si>
  <si>
    <t xml:space="preserve">Day-one support desk (hypercare)</t>
  </si>
  <si>
    <t xml:space="preserve">T30</t>
  </si>
  <si>
    <t xml:space="preserve">Punch list walkthrough &amp; completion</t>
  </si>
  <si>
    <t xml:space="preserve">T31</t>
  </si>
  <si>
    <t xml:space="preserve">Lessons learned &amp; closeout report</t>
  </si>
  <si>
    <t xml:space="preserve">Budget Tracker</t>
  </si>
  <si>
    <t xml:space="preserve">Approved change orders are added to their category and drawn from contingency, so the total budget holds unless contingency runs out.</t>
  </si>
  <si>
    <t xml:space="preserve">Category</t>
  </si>
  <si>
    <t xml:space="preserve">Baseline Budget</t>
  </si>
  <si>
    <t xml:space="preserve">Approved Change Orders</t>
  </si>
  <si>
    <t xml:space="preserve">Revised Budget</t>
  </si>
  <si>
    <t xml:space="preserve">Committed (POs/contracts)</t>
  </si>
  <si>
    <t xml:space="preserve">Actual Spent to Date</t>
  </si>
  <si>
    <t xml:space="preserve">Estimate to Complete</t>
  </si>
  <si>
    <t xml:space="preserve">Forecast at Completion</t>
  </si>
  <si>
    <t xml:space="preserve">Variance (+ under / − over)</t>
  </si>
  <si>
    <t xml:space="preserve">% Spent</t>
  </si>
  <si>
    <t xml:space="preserve">Design &amp; Permits</t>
  </si>
  <si>
    <t xml:space="preserve">Construction</t>
  </si>
  <si>
    <t xml:space="preserve">Electrical &amp; Data Cabling</t>
  </si>
  <si>
    <t xml:space="preserve">IT Equipment</t>
  </si>
  <si>
    <t xml:space="preserve">AV &amp; Conference Rooms</t>
  </si>
  <si>
    <t xml:space="preserve">Furniture</t>
  </si>
  <si>
    <t xml:space="preserve">Moving &amp; Logistics</t>
  </si>
  <si>
    <t xml:space="preserve">Contingency</t>
  </si>
  <si>
    <t xml:space="preserve">TOTAL</t>
  </si>
  <si>
    <t xml:space="preserve">Change Order Log</t>
  </si>
  <si>
    <t xml:space="preserve">Approved amounts flow into the Budget tab automatically.</t>
  </si>
  <si>
    <t xml:space="preserve">CO #</t>
  </si>
  <si>
    <t xml:space="preserve">Requested By</t>
  </si>
  <si>
    <t xml:space="preserve">Budget Category</t>
  </si>
  <si>
    <t xml:space="preserve">Cost Impact ($)</t>
  </si>
  <si>
    <t xml:space="preserve">Schedule Impact (days)</t>
  </si>
  <si>
    <t xml:space="preserve">Date Submitted</t>
  </si>
  <si>
    <t xml:space="preserve">Decision Notes</t>
  </si>
  <si>
    <t xml:space="preserve">Totals</t>
  </si>
  <si>
    <t xml:space="preserve">CO-01</t>
  </si>
  <si>
    <t xml:space="preserve">Relocate 2 data drops after furniture layout change</t>
  </si>
  <si>
    <t xml:space="preserve">Approved</t>
  </si>
  <si>
    <t xml:space="preserve">Cheaper than moving desks</t>
  </si>
  <si>
    <t xml:space="preserve">CO-02</t>
  </si>
  <si>
    <t xml:space="preserve">Add fire-rated wall at server room (plan review comment)</t>
  </si>
  <si>
    <t xml:space="preserve">Code requirement</t>
  </si>
  <si>
    <t xml:space="preserve">Pending</t>
  </si>
  <si>
    <t xml:space="preserve">CO-03</t>
  </si>
  <si>
    <t xml:space="preserve">Upgrade main conference display to 86 inch</t>
  </si>
  <si>
    <t xml:space="preserve">Awaiting sponsor decision</t>
  </si>
  <si>
    <t xml:space="preserve">Rejected</t>
  </si>
  <si>
    <t xml:space="preserve">CO-04</t>
  </si>
  <si>
    <t xml:space="preserve">Floor leveling in east wing (found during demo)</t>
  </si>
  <si>
    <t xml:space="preserve">Decision D-01</t>
  </si>
  <si>
    <t xml:space="preserve">CO-05</t>
  </si>
  <si>
    <t xml:space="preserve">Add 4 sit-stand desks</t>
  </si>
  <si>
    <t xml:space="preserve">Defer to 2027 budget</t>
  </si>
  <si>
    <t xml:space="preserve">RFI &amp; Submittal Log</t>
  </si>
  <si>
    <t xml:space="preserve">Due date = sent date + response window (workdays). Status flips to Overdue automatically.</t>
  </si>
  <si>
    <t xml:space="preserve">Log #</t>
  </si>
  <si>
    <t xml:space="preserve">Type</t>
  </si>
  <si>
    <t xml:space="preserve">Subject</t>
  </si>
  <si>
    <t xml:space="preserve">Sent To</t>
  </si>
  <si>
    <t xml:space="preserve">Date Sent</t>
  </si>
  <si>
    <t xml:space="preserve">Response Window (workdays)</t>
  </si>
  <si>
    <t xml:space="preserve">Due Date</t>
  </si>
  <si>
    <t xml:space="preserve">Response Date</t>
  </si>
  <si>
    <t xml:space="preserve">Days Outstanding</t>
  </si>
  <si>
    <t xml:space="preserve">RFI-001</t>
  </si>
  <si>
    <t xml:space="preserve">RFI</t>
  </si>
  <si>
    <t xml:space="preserve">Confirm ceiling height at server room for cable tray</t>
  </si>
  <si>
    <t xml:space="preserve">RFI-002</t>
  </si>
  <si>
    <t xml:space="preserve">Fire-rated wall assembly detail</t>
  </si>
  <si>
    <t xml:space="preserve">Led to CO-02</t>
  </si>
  <si>
    <t xml:space="preserve">RFI-003</t>
  </si>
  <si>
    <t xml:space="preserve">Existing floor box locations vs new desk layout</t>
  </si>
  <si>
    <t xml:space="preserve">Follow-up sent (action A6)</t>
  </si>
  <si>
    <t xml:space="preserve">RFI-004</t>
  </si>
  <si>
    <t xml:space="preserve">HVAC diffuser relocation in conference room</t>
  </si>
  <si>
    <t xml:space="preserve">SUB-001</t>
  </si>
  <si>
    <t xml:space="preserve">Submittal</t>
  </si>
  <si>
    <t xml:space="preserve">Carpet tile product data &amp; samples</t>
  </si>
  <si>
    <t xml:space="preserve">Approved as submitted</t>
  </si>
  <si>
    <t xml:space="preserve">SUB-002</t>
  </si>
  <si>
    <t xml:space="preserve">Door hardware schedule</t>
  </si>
  <si>
    <t xml:space="preserve">SUB-003</t>
  </si>
  <si>
    <t xml:space="preserve">Cable tray &amp; Cat6A spec sheets</t>
  </si>
  <si>
    <t xml:space="preserve">RAID Log — Risks, Assumptions, Issues, Decisions</t>
  </si>
  <si>
    <t xml:space="preserve">Score = Probability × Impact (1–5 each). 15+ = High, 8–14 = Medium, below 8 = Low.</t>
  </si>
  <si>
    <t xml:space="preserve">Probability (1-5)</t>
  </si>
  <si>
    <t xml:space="preserve">Impact (1-5)</t>
  </si>
  <si>
    <t xml:space="preserve">Rating</t>
  </si>
  <si>
    <t xml:space="preserve">Date Raised</t>
  </si>
  <si>
    <t xml:space="preserve">Response / Mitigation</t>
  </si>
  <si>
    <t xml:space="preserve">Days Open</t>
  </si>
  <si>
    <t xml:space="preserve">helper: top risk</t>
  </si>
  <si>
    <t xml:space="preserve">helper: open decision</t>
  </si>
  <si>
    <t xml:space="preserve">R-01</t>
  </si>
  <si>
    <t xml:space="preserve">Risk</t>
  </si>
  <si>
    <t xml:space="preserve">ISP circuit lead time (45–60 days) may miss the move date</t>
  </si>
  <si>
    <t xml:space="preserve">Open</t>
  </si>
  <si>
    <t xml:space="preserve">Escalate with carrier weekly; order LTE backup router as a bridge</t>
  </si>
  <si>
    <t xml:space="preserve">R-02</t>
  </si>
  <si>
    <t xml:space="preserve">Furniture lead times of 8–10 weeks</t>
  </si>
  <si>
    <t xml:space="preserve">Choose in-stock lines; lock ship date in the PO</t>
  </si>
  <si>
    <t xml:space="preserve">R-03</t>
  </si>
  <si>
    <t xml:space="preserve">Hidden conditions behind walls during demo</t>
  </si>
  <si>
    <t xml:space="preserve">Cost</t>
  </si>
  <si>
    <t xml:space="preserve">Closed</t>
  </si>
  <si>
    <t xml:space="preserve">Occurred — converted to issue I-01</t>
  </si>
  <si>
    <t xml:space="preserve">R-04</t>
  </si>
  <si>
    <t xml:space="preserve">Inspection scheduling delays with the county</t>
  </si>
  <si>
    <t xml:space="preserve">Monitoring</t>
  </si>
  <si>
    <t xml:space="preserve">Book inspections 5 days ahead</t>
  </si>
  <si>
    <t xml:space="preserve">R-05</t>
  </si>
  <si>
    <t xml:space="preserve">Staff disruption during move weekend</t>
  </si>
  <si>
    <t xml:space="preserve">People</t>
  </si>
  <si>
    <t xml:space="preserve">Packing guide, labels, day-one help desk</t>
  </si>
  <si>
    <t xml:space="preserve">I-01</t>
  </si>
  <si>
    <t xml:space="preserve">Issue</t>
  </si>
  <si>
    <t xml:space="preserve">East-wing floor is out of level; needs leveling compound</t>
  </si>
  <si>
    <t xml:space="preserve">CO-04 submitted; decision D-01 needed</t>
  </si>
  <si>
    <t xml:space="preserve">I-02</t>
  </si>
  <si>
    <t xml:space="preserve">Moving company quote expired; re-bid required</t>
  </si>
  <si>
    <t xml:space="preserve">3 new quotes requested (action A3)</t>
  </si>
  <si>
    <t xml:space="preserve">A-01</t>
  </si>
  <si>
    <t xml:space="preserve">Assumption</t>
  </si>
  <si>
    <t xml:space="preserve">Landlord provides after-hours elevator access for the move</t>
  </si>
  <si>
    <t xml:space="preserve">Logistics</t>
  </si>
  <si>
    <t xml:space="preserve">Confirm in writing (action A5)</t>
  </si>
  <si>
    <t xml:space="preserve">D-01</t>
  </si>
  <si>
    <t xml:space="preserve">Decision</t>
  </si>
  <si>
    <t xml:space="preserve">Approve CO-04 floor leveling ($4,750) from contingency?</t>
  </si>
  <si>
    <t xml:space="preserve">Needed by Oct 20 to protect the drywall start</t>
  </si>
  <si>
    <t xml:space="preserve">D-02</t>
  </si>
  <si>
    <t xml:space="preserve">Keep existing phone system vs. move to cloud voice</t>
  </si>
  <si>
    <t xml:space="preserve">IT</t>
  </si>
  <si>
    <t xml:space="preserve">Keep existing; revisit in 2027</t>
  </si>
  <si>
    <t xml:space="preserve">Meeting Action Items</t>
  </si>
  <si>
    <t xml:space="preserve">Anything past due and not Done is flagged OVERDUE and shows on the status report.</t>
  </si>
  <si>
    <t xml:space="preserve">#</t>
  </si>
  <si>
    <t xml:space="preserve">Meeting</t>
  </si>
  <si>
    <t xml:space="preserve">Action</t>
  </si>
  <si>
    <t xml:space="preserve">Flag</t>
  </si>
  <si>
    <t xml:space="preserve">helper: overdue</t>
  </si>
  <si>
    <t xml:space="preserve">A1</t>
  </si>
  <si>
    <t xml:space="preserve">Weekly OAC meeting</t>
  </si>
  <si>
    <t xml:space="preserve">Send revised furniture layout to cabling vendor</t>
  </si>
  <si>
    <t xml:space="preserve">Done</t>
  </si>
  <si>
    <t xml:space="preserve">A2</t>
  </si>
  <si>
    <t xml:space="preserve">Get a written install date from the ISP carrier</t>
  </si>
  <si>
    <t xml:space="preserve">A3</t>
  </si>
  <si>
    <t xml:space="preserve">Re-bid moving company (3 quotes)</t>
  </si>
  <si>
    <t xml:space="preserve">A4</t>
  </si>
  <si>
    <t xml:space="preserve">Site walk with GC</t>
  </si>
  <si>
    <t xml:space="preserve">Price floor-leveling options for the east wing</t>
  </si>
  <si>
    <t xml:space="preserve">A5</t>
  </si>
  <si>
    <t xml:space="preserve">Landlord check-in</t>
  </si>
  <si>
    <t xml:space="preserve">Confirm after-hours elevator reservation</t>
  </si>
  <si>
    <t xml:space="preserve">A6</t>
  </si>
  <si>
    <t xml:space="preserve">Design coordination</t>
  </si>
  <si>
    <t xml:space="preserve">Follow up with architect on RFI-003</t>
  </si>
  <si>
    <t xml:space="preserve">Drop-down values used across the workbook. Add a row here and it shows up in the menus.</t>
  </si>
  <si>
    <t xml:space="preserve">Phases</t>
  </si>
  <si>
    <t xml:space="preserve">Owners</t>
  </si>
  <si>
    <t xml:space="preserve">RAID Type</t>
  </si>
  <si>
    <t xml:space="preserve">RAID Status</t>
  </si>
  <si>
    <t xml:space="preserve">CO Status</t>
  </si>
  <si>
    <t xml:space="preserve">Action Status</t>
  </si>
  <si>
    <t xml:space="preserve">Yes/No</t>
  </si>
  <si>
    <t xml:space="preserve">Log Type</t>
  </si>
  <si>
    <t xml:space="preserve">Budget Categories</t>
  </si>
  <si>
    <t xml:space="preserve">RAID Category</t>
  </si>
  <si>
    <t xml:space="preserve">Meetings</t>
  </si>
  <si>
    <t xml:space="preserve">Quality</t>
  </si>
  <si>
    <t xml:space="preserve">Finance</t>
  </si>
</sst>
</file>

<file path=xl/styles.xml><?xml version="1.0" encoding="utf-8"?>
<styleSheet xmlns="http://schemas.openxmlformats.org/spreadsheetml/2006/main">
  <numFmts count="11">
    <numFmt numFmtId="164" formatCode="General"/>
    <numFmt numFmtId="165" formatCode="mmm\ d&quot;, &quot;yyyy"/>
    <numFmt numFmtId="166" formatCode="0%"/>
    <numFmt numFmtId="167" formatCode="0"/>
    <numFmt numFmtId="168" formatCode="\$#,##0"/>
    <numFmt numFmtId="169" formatCode="\$#,##0;&quot;($&quot;#,##0\)"/>
    <numFmt numFmtId="170" formatCode="mmm\ d"/>
    <numFmt numFmtId="171" formatCode="m/d"/>
    <numFmt numFmtId="172" formatCode="mm/dd/yy"/>
    <numFmt numFmtId="173" formatCode="General"/>
    <numFmt numFmtId="174" formatCode="\$#,##0;&quot;($&quot;#,##0\);\-"/>
  </numFmts>
  <fonts count="28">
    <font>
      <sz val="11"/>
      <color theme="1"/>
      <name val="Calibri"/>
      <family val="2"/>
      <charset val="1"/>
    </font>
    <font>
      <sz val="10"/>
      <name val="Arial"/>
      <family val="0"/>
    </font>
    <font>
      <sz val="10"/>
      <name val="Arial"/>
      <family val="0"/>
    </font>
    <font>
      <sz val="10"/>
      <name val="Arial"/>
      <family val="0"/>
    </font>
    <font>
      <b val="true"/>
      <sz val="18"/>
      <color rgb="FF1F3A5F"/>
      <name val="Arial"/>
      <family val="0"/>
      <charset val="1"/>
    </font>
    <font>
      <i val="true"/>
      <sz val="9"/>
      <color rgb="FF5B6B7F"/>
      <name val="Arial"/>
      <family val="0"/>
      <charset val="1"/>
    </font>
    <font>
      <b val="true"/>
      <sz val="12"/>
      <color rgb="FF2A7F8E"/>
      <name val="Arial"/>
      <family val="0"/>
      <charset val="1"/>
    </font>
    <font>
      <sz val="10"/>
      <color rgb="FF222222"/>
      <name val="Arial"/>
      <family val="0"/>
      <charset val="1"/>
    </font>
    <font>
      <b val="true"/>
      <sz val="10"/>
      <color rgb="FFFFFFFF"/>
      <name val="Arial"/>
      <family val="0"/>
      <charset val="1"/>
    </font>
    <font>
      <b val="true"/>
      <sz val="10"/>
      <color rgb="FF222222"/>
      <name val="Arial"/>
      <family val="0"/>
      <charset val="1"/>
    </font>
    <font>
      <b val="true"/>
      <sz val="10"/>
      <color rgb="FF1F3A5F"/>
      <name val="Arial"/>
      <family val="0"/>
      <charset val="1"/>
    </font>
    <font>
      <b val="true"/>
      <sz val="16"/>
      <color rgb="FF1F3A5F"/>
      <name val="Arial"/>
      <family val="0"/>
      <charset val="1"/>
    </font>
    <font>
      <sz val="10"/>
      <color rgb="FF0000FF"/>
      <name val="Arial"/>
      <family val="0"/>
      <charset val="1"/>
    </font>
    <font>
      <b val="true"/>
      <sz val="9"/>
      <color rgb="FF5B6B7F"/>
      <name val="Arial"/>
      <family val="0"/>
      <charset val="1"/>
    </font>
    <font>
      <b val="true"/>
      <sz val="20"/>
      <color rgb="FF222222"/>
      <name val="Arial"/>
      <family val="0"/>
      <charset val="1"/>
    </font>
    <font>
      <i val="true"/>
      <sz val="8"/>
      <color rgb="FF5B6B7F"/>
      <name val="Arial"/>
      <family val="0"/>
      <charset val="1"/>
    </font>
    <font>
      <b val="true"/>
      <sz val="9"/>
      <color rgb="FFFFFFFF"/>
      <name val="Arial"/>
      <family val="0"/>
      <charset val="1"/>
    </font>
    <font>
      <b val="true"/>
      <sz val="11"/>
      <color rgb="FFFFFFFF"/>
      <name val="Arial"/>
      <family val="0"/>
      <charset val="1"/>
    </font>
    <font>
      <sz val="10"/>
      <name val="Arial"/>
      <family val="2"/>
    </font>
    <font>
      <b val="true"/>
      <sz val="18"/>
      <color rgb="FF000000"/>
      <name val="Calibri"/>
      <family val="2"/>
    </font>
    <font>
      <sz val="10"/>
      <color rgb="FF000000"/>
      <name val="Calibri"/>
      <family val="2"/>
    </font>
    <font>
      <sz val="10"/>
      <color rgb="FF5B6B7F"/>
      <name val="Arial"/>
      <family val="0"/>
      <charset val="1"/>
    </font>
    <font>
      <b val="true"/>
      <sz val="14"/>
      <color rgb="FF222222"/>
      <name val="Arial"/>
      <family val="0"/>
      <charset val="1"/>
    </font>
    <font>
      <sz val="9"/>
      <color rgb="FF5B6B7F"/>
      <name val="Arial"/>
      <family val="0"/>
      <charset val="1"/>
    </font>
    <font>
      <b val="true"/>
      <sz val="9"/>
      <color rgb="FF1F3A5F"/>
      <name val="Arial"/>
      <family val="0"/>
      <charset val="1"/>
    </font>
    <font>
      <b val="true"/>
      <sz val="8"/>
      <color rgb="FF5B6B7F"/>
      <name val="Arial"/>
      <family val="0"/>
      <charset val="1"/>
    </font>
    <font>
      <b val="true"/>
      <sz val="8"/>
      <color rgb="FFFFFFFF"/>
      <name val="Arial"/>
      <family val="0"/>
      <charset val="1"/>
    </font>
    <font>
      <sz val="8"/>
      <color rgb="FF9AA5B1"/>
      <name val="Arial"/>
      <family val="0"/>
      <charset val="1"/>
    </font>
  </fonts>
  <fills count="7">
    <fill>
      <patternFill patternType="none"/>
    </fill>
    <fill>
      <patternFill patternType="gray125"/>
    </fill>
    <fill>
      <patternFill patternType="solid">
        <fgColor rgb="FF1F3A5F"/>
        <bgColor rgb="FF333399"/>
      </patternFill>
    </fill>
    <fill>
      <patternFill patternType="solid">
        <fgColor rgb="FFFFF7D6"/>
        <bgColor rgb="FFFFF1C1"/>
      </patternFill>
    </fill>
    <fill>
      <patternFill patternType="solid">
        <fgColor rgb="FFEEF3F8"/>
        <bgColor rgb="FFF9F9F9"/>
      </patternFill>
    </fill>
    <fill>
      <patternFill patternType="solid">
        <fgColor rgb="FF2A7F8E"/>
        <bgColor rgb="FF008080"/>
      </patternFill>
    </fill>
    <fill>
      <patternFill patternType="solid">
        <fgColor rgb="FFFFFFFF"/>
        <bgColor rgb="FFF9F9F9"/>
      </patternFill>
    </fill>
  </fills>
  <borders count="2">
    <border diagonalUp="false" diagonalDown="false">
      <left/>
      <right/>
      <top/>
      <bottom/>
      <diagonal/>
    </border>
    <border diagonalUp="false" diagonalDown="false">
      <left style="thin">
        <color rgb="FFC9D3DF"/>
      </left>
      <right style="thin">
        <color rgb="FFC9D3DF"/>
      </right>
      <top style="thin">
        <color rgb="FFC9D3DF"/>
      </top>
      <bottom style="thin">
        <color rgb="FFC9D3D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66">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true" applyAlignment="true" applyProtection="false">
      <alignment horizontal="general" vertical="top" textRotation="0" wrapText="true" indent="0" shrinkToFit="false"/>
      <protection locked="true" hidden="false"/>
    </xf>
    <xf numFmtId="164" fontId="8" fillId="2" borderId="1" xfId="0" applyFont="true" applyBorder="true" applyAlignment="false" applyProtection="false">
      <alignment horizontal="general" vertical="bottom" textRotation="0" wrapText="false" indent="0" shrinkToFit="false"/>
      <protection locked="true" hidden="false"/>
    </xf>
    <xf numFmtId="164" fontId="9" fillId="3" borderId="1" xfId="0" applyFont="true" applyBorder="true" applyAlignment="true" applyProtection="false">
      <alignment horizontal="general" vertical="top" textRotation="0" wrapText="true" indent="0" shrinkToFit="false"/>
      <protection locked="true" hidden="false"/>
    </xf>
    <xf numFmtId="164" fontId="7" fillId="0" borderId="1" xfId="0" applyFont="true" applyBorder="true" applyAlignment="true" applyProtection="false">
      <alignment horizontal="general" vertical="top" textRotation="0" wrapText="true" indent="0" shrinkToFit="false"/>
      <protection locked="true" hidden="false"/>
    </xf>
    <xf numFmtId="164" fontId="10" fillId="0" borderId="0" xfId="0" applyFont="true" applyBorder="false" applyAlignment="true" applyProtection="false">
      <alignment horizontal="general" vertical="top"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5" fontId="12" fillId="3" borderId="1" xfId="0" applyFont="tru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4" fontId="13" fillId="4" borderId="0" xfId="0" applyFont="true" applyBorder="true" applyAlignment="true" applyProtection="false">
      <alignment horizontal="general" vertical="bottom" textRotation="0" wrapText="true" indent="0" shrinkToFit="false"/>
      <protection locked="true" hidden="false"/>
    </xf>
    <xf numFmtId="164" fontId="14" fillId="0" borderId="0" xfId="0" applyFont="true" applyBorder="true" applyAlignment="true" applyProtection="false">
      <alignment horizontal="center" vertical="center" textRotation="0" wrapText="false" indent="0" shrinkToFit="false"/>
      <protection locked="true" hidden="false"/>
    </xf>
    <xf numFmtId="166" fontId="4" fillId="4" borderId="0" xfId="0" applyFont="true" applyBorder="true" applyAlignment="true" applyProtection="false">
      <alignment horizontal="left" vertical="center" textRotation="0" wrapText="false" indent="0" shrinkToFit="false"/>
      <protection locked="true" hidden="false"/>
    </xf>
    <xf numFmtId="167" fontId="4" fillId="4" borderId="0" xfId="0" applyFont="true" applyBorder="true" applyAlignment="true" applyProtection="false">
      <alignment horizontal="left" vertical="center" textRotation="0" wrapText="false" indent="0" shrinkToFit="false"/>
      <protection locked="true" hidden="false"/>
    </xf>
    <xf numFmtId="164" fontId="15" fillId="0" borderId="0" xfId="0" applyFont="true" applyBorder="true" applyAlignment="true" applyProtection="false">
      <alignment horizontal="general" vertical="top" textRotation="0" wrapText="true" indent="0" shrinkToFit="false"/>
      <protection locked="true" hidden="false"/>
    </xf>
    <xf numFmtId="164" fontId="16" fillId="5" borderId="0" xfId="0" applyFont="true" applyBorder="false" applyAlignment="false" applyProtection="false">
      <alignment horizontal="general" vertical="bottom" textRotation="0" wrapText="false" indent="0" shrinkToFit="false"/>
      <protection locked="true" hidden="false"/>
    </xf>
    <xf numFmtId="164" fontId="0" fillId="5" borderId="0" xfId="0" applyFont="false" applyBorder="false" applyAlignment="false" applyProtection="false">
      <alignment horizontal="general" vertical="bottom" textRotation="0" wrapText="false" indent="0" shrinkToFit="false"/>
      <protection locked="true" hidden="false"/>
    </xf>
    <xf numFmtId="168" fontId="4" fillId="4" borderId="0" xfId="0" applyFont="true" applyBorder="true" applyAlignment="true" applyProtection="false">
      <alignment horizontal="left" vertical="center" textRotation="0" wrapText="false" indent="0" shrinkToFit="false"/>
      <protection locked="true" hidden="false"/>
    </xf>
    <xf numFmtId="169" fontId="4" fillId="4" borderId="0" xfId="0" applyFont="true" applyBorder="true" applyAlignment="true" applyProtection="false">
      <alignment horizontal="left" vertical="center" textRotation="0" wrapText="false" indent="0" shrinkToFit="false"/>
      <protection locked="true" hidden="false"/>
    </xf>
    <xf numFmtId="164" fontId="7" fillId="0" borderId="1" xfId="0" applyFont="true" applyBorder="true" applyAlignment="true" applyProtection="false">
      <alignment horizontal="general" vertical="top" textRotation="0" wrapText="false" indent="0" shrinkToFit="false"/>
      <protection locked="true" hidden="false"/>
    </xf>
    <xf numFmtId="167" fontId="7" fillId="0" borderId="1" xfId="0" applyFont="true" applyBorder="true" applyAlignment="true" applyProtection="false">
      <alignment horizontal="center" vertical="top" textRotation="0" wrapText="false" indent="0" shrinkToFit="false"/>
      <protection locked="true" hidden="false"/>
    </xf>
    <xf numFmtId="164" fontId="7" fillId="0" borderId="1" xfId="0" applyFont="true" applyBorder="true" applyAlignment="true" applyProtection="false">
      <alignment horizontal="center" vertical="top" textRotation="0" wrapText="false" indent="0" shrinkToFit="false"/>
      <protection locked="true" hidden="false"/>
    </xf>
    <xf numFmtId="164" fontId="4" fillId="4" borderId="0" xfId="0" applyFont="true" applyBorder="true" applyAlignment="true" applyProtection="false">
      <alignment horizontal="left" vertical="center" textRotation="0" wrapText="false" indent="0" shrinkToFit="false"/>
      <protection locked="true" hidden="false"/>
    </xf>
    <xf numFmtId="164" fontId="17" fillId="5" borderId="0" xfId="0" applyFont="true" applyBorder="false" applyAlignment="false" applyProtection="false">
      <alignment horizontal="general" vertical="bottom" textRotation="0" wrapText="false" indent="0" shrinkToFit="false"/>
      <protection locked="true" hidden="false"/>
    </xf>
    <xf numFmtId="164" fontId="8" fillId="2" borderId="1" xfId="0" applyFont="true" applyBorder="true" applyAlignment="true" applyProtection="false">
      <alignment horizontal="center" vertical="center" textRotation="0" wrapText="true" indent="0" shrinkToFit="false"/>
      <protection locked="true" hidden="false"/>
    </xf>
    <xf numFmtId="166" fontId="7" fillId="0" borderId="1" xfId="0" applyFont="true" applyBorder="true" applyAlignment="true" applyProtection="false">
      <alignment horizontal="center" vertical="top" textRotation="0" wrapText="false" indent="0" shrinkToFit="false"/>
      <protection locked="true" hidden="false"/>
    </xf>
    <xf numFmtId="170" fontId="7" fillId="0" borderId="1" xfId="0" applyFont="true" applyBorder="true" applyAlignment="true" applyProtection="false">
      <alignment horizontal="general" vertical="top" textRotation="0" wrapText="false" indent="0" shrinkToFit="false"/>
      <protection locked="true" hidden="false"/>
    </xf>
    <xf numFmtId="164" fontId="21"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true" applyProtection="false">
      <alignment horizontal="general" vertical="top" textRotation="0" wrapText="false" indent="0" shrinkToFit="false"/>
      <protection locked="true" hidden="false"/>
    </xf>
    <xf numFmtId="164" fontId="22"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70" fontId="7" fillId="0" borderId="0" xfId="0" applyFont="true" applyBorder="false" applyAlignment="false" applyProtection="false">
      <alignment horizontal="general" vertical="bottom" textRotation="0" wrapText="false" indent="0" shrinkToFit="false"/>
      <protection locked="true" hidden="false"/>
    </xf>
    <xf numFmtId="164" fontId="0" fillId="3" borderId="1" xfId="0" applyFont="false" applyBorder="true" applyAlignment="false" applyProtection="false">
      <alignment horizontal="general" vertical="bottom" textRotation="0" wrapText="false" indent="0" shrinkToFit="false"/>
      <protection locked="true" hidden="false"/>
    </xf>
    <xf numFmtId="164" fontId="23" fillId="0" borderId="0" xfId="0" applyFont="true" applyBorder="false" applyAlignment="false" applyProtection="false">
      <alignment horizontal="general" vertical="bottom" textRotation="0" wrapText="false" indent="0" shrinkToFit="false"/>
      <protection locked="true" hidden="false"/>
    </xf>
    <xf numFmtId="164" fontId="24" fillId="0" borderId="0" xfId="0" applyFont="true" applyBorder="false" applyAlignment="false" applyProtection="false">
      <alignment horizontal="general" vertical="bottom" textRotation="0" wrapText="false" indent="0" shrinkToFit="false"/>
      <protection locked="true" hidden="false"/>
    </xf>
    <xf numFmtId="170" fontId="25" fillId="0" borderId="0" xfId="0" applyFont="true" applyBorder="false" applyAlignment="false" applyProtection="false">
      <alignment horizontal="general" vertical="bottom" textRotation="0" wrapText="fals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71" fontId="26" fillId="2" borderId="0" xfId="0" applyFont="true" applyBorder="false" applyAlignment="true" applyProtection="false">
      <alignment horizontal="center" vertical="center" textRotation="90" wrapText="false" indent="0" shrinkToFit="false"/>
      <protection locked="true" hidden="false"/>
    </xf>
    <xf numFmtId="164" fontId="12" fillId="3" borderId="1" xfId="0" applyFont="true" applyBorder="true" applyAlignment="true" applyProtection="false">
      <alignment horizontal="general" vertical="top" textRotation="0" wrapText="false" indent="0" shrinkToFit="false"/>
      <protection locked="true" hidden="false"/>
    </xf>
    <xf numFmtId="164" fontId="12" fillId="3" borderId="1" xfId="0" applyFont="true" applyBorder="true" applyAlignment="true" applyProtection="false">
      <alignment horizontal="general" vertical="top" textRotation="0" wrapText="true" indent="0" shrinkToFit="false"/>
      <protection locked="true" hidden="false"/>
    </xf>
    <xf numFmtId="170" fontId="12" fillId="3" borderId="1" xfId="0" applyFont="true" applyBorder="true" applyAlignment="true" applyProtection="false">
      <alignment horizontal="general" vertical="top" textRotation="0" wrapText="false" indent="0" shrinkToFit="false"/>
      <protection locked="true" hidden="false"/>
    </xf>
    <xf numFmtId="164" fontId="12" fillId="3" borderId="1" xfId="0" applyFont="true" applyBorder="true" applyAlignment="true" applyProtection="false">
      <alignment horizontal="center" vertical="top" textRotation="0" wrapText="false" indent="0" shrinkToFit="false"/>
      <protection locked="true" hidden="false"/>
    </xf>
    <xf numFmtId="166" fontId="12" fillId="3" borderId="1" xfId="0" applyFont="true" applyBorder="true" applyAlignment="true" applyProtection="false">
      <alignment horizontal="general" vertical="top" textRotation="0" wrapText="false" indent="0" shrinkToFit="false"/>
      <protection locked="true" hidden="false"/>
    </xf>
    <xf numFmtId="166" fontId="7" fillId="0" borderId="1" xfId="0" applyFont="true" applyBorder="true" applyAlignment="true" applyProtection="false">
      <alignment horizontal="general" vertical="top" textRotation="0" wrapText="false" indent="0" shrinkToFit="false"/>
      <protection locked="true" hidden="false"/>
    </xf>
    <xf numFmtId="164" fontId="27" fillId="0" borderId="1" xfId="0" applyFont="true" applyBorder="true" applyAlignment="true" applyProtection="false">
      <alignment horizontal="general" vertical="top"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72" fontId="27" fillId="0" borderId="1" xfId="0" applyFont="true" applyBorder="true" applyAlignment="true" applyProtection="false">
      <alignment horizontal="general" vertical="top" textRotation="0" wrapText="false" indent="0" shrinkToFit="false"/>
      <protection locked="true" hidden="false"/>
    </xf>
    <xf numFmtId="170" fontId="0" fillId="0" borderId="0" xfId="0" applyFont="false" applyBorder="false" applyAlignment="false" applyProtection="false">
      <alignment horizontal="general" vertical="bottom" textRotation="0" wrapText="false" indent="0" shrinkToFit="false"/>
      <protection locked="true" hidden="false"/>
    </xf>
    <xf numFmtId="166" fontId="0" fillId="0" borderId="0" xfId="0" applyFont="false" applyBorder="false" applyAlignment="false" applyProtection="false">
      <alignment horizontal="general" vertical="bottom" textRotation="0" wrapText="false" indent="0" shrinkToFit="false"/>
      <protection locked="true" hidden="false"/>
    </xf>
    <xf numFmtId="173" fontId="0" fillId="0" borderId="0" xfId="0" applyFont="false" applyBorder="false" applyAlignment="false" applyProtection="false">
      <alignment horizontal="general" vertical="bottom" textRotation="0" wrapText="false" indent="0" shrinkToFit="false"/>
      <protection locked="true" hidden="false"/>
    </xf>
    <xf numFmtId="164" fontId="27" fillId="0" borderId="0" xfId="0" applyFont="true" applyBorder="false" applyAlignment="false" applyProtection="false">
      <alignment horizontal="general" vertical="bottom" textRotation="0" wrapText="false" indent="0" shrinkToFit="false"/>
      <protection locked="true" hidden="false"/>
    </xf>
    <xf numFmtId="174" fontId="12" fillId="3" borderId="1" xfId="0" applyFont="true" applyBorder="true" applyAlignment="true" applyProtection="false">
      <alignment horizontal="general" vertical="top" textRotation="0" wrapText="false" indent="0" shrinkToFit="false"/>
      <protection locked="true" hidden="false"/>
    </xf>
    <xf numFmtId="174" fontId="7" fillId="0" borderId="1" xfId="0" applyFont="true" applyBorder="true" applyAlignment="true" applyProtection="false">
      <alignment horizontal="general" vertical="top" textRotation="0" wrapText="false" indent="0" shrinkToFit="false"/>
      <protection locked="true" hidden="false"/>
    </xf>
    <xf numFmtId="174" fontId="7" fillId="6" borderId="1" xfId="0" applyFont="true" applyBorder="true" applyAlignment="true" applyProtection="false">
      <alignment horizontal="general" vertical="top" textRotation="0" wrapText="false" indent="0" shrinkToFit="false"/>
      <protection locked="true" hidden="false"/>
    </xf>
    <xf numFmtId="164" fontId="9" fillId="4" borderId="1" xfId="0" applyFont="true" applyBorder="true" applyAlignment="true" applyProtection="false">
      <alignment horizontal="general" vertical="top" textRotation="0" wrapText="false" indent="0" shrinkToFit="false"/>
      <protection locked="true" hidden="false"/>
    </xf>
    <xf numFmtId="174" fontId="9" fillId="4" borderId="1" xfId="0" applyFont="true" applyBorder="true" applyAlignment="true" applyProtection="false">
      <alignment horizontal="general" vertical="top" textRotation="0" wrapText="false" indent="0" shrinkToFit="false"/>
      <protection locked="true" hidden="false"/>
    </xf>
    <xf numFmtId="166" fontId="9" fillId="4" borderId="1" xfId="0" applyFont="true" applyBorder="true" applyAlignment="true" applyProtection="false">
      <alignment horizontal="general" vertical="top" textRotation="0" wrapText="false" indent="0" shrinkToFit="false"/>
      <protection locked="true" hidden="false"/>
    </xf>
    <xf numFmtId="164" fontId="8" fillId="2" borderId="0" xfId="0" applyFont="tru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8" fontId="12" fillId="3" borderId="1" xfId="0" applyFont="true" applyBorder="true" applyAlignment="true" applyProtection="false">
      <alignment horizontal="general" vertical="top" textRotation="0" wrapText="false" indent="0" shrinkToFit="false"/>
      <protection locked="true" hidden="false"/>
    </xf>
    <xf numFmtId="164" fontId="9" fillId="0" borderId="1" xfId="0" applyFont="true" applyBorder="true" applyAlignment="false" applyProtection="false">
      <alignment horizontal="general" vertical="bottom" textRotation="0" wrapText="false" indent="0" shrinkToFit="false"/>
      <protection locked="true" hidden="false"/>
    </xf>
    <xf numFmtId="168" fontId="9" fillId="0" borderId="1"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7">
    <dxf>
      <font>
        <name val="Arial"/>
        <charset val="1"/>
        <family val="0"/>
        <b val="1"/>
        <color rgb="FF1E6B35"/>
        <sz val="20"/>
      </font>
      <fill>
        <patternFill>
          <bgColor rgb="FFD6F0DD"/>
        </patternFill>
      </fill>
    </dxf>
    <dxf>
      <font>
        <name val="Arial"/>
        <charset val="1"/>
        <family val="0"/>
        <b val="1"/>
        <color rgb="FF8A5A00"/>
        <sz val="20"/>
      </font>
      <fill>
        <patternFill>
          <bgColor rgb="FFFFE8B3"/>
        </patternFill>
      </fill>
    </dxf>
    <dxf>
      <font>
        <name val="Arial"/>
        <charset val="1"/>
        <family val="0"/>
        <b val="1"/>
        <color rgb="FF9B1C13"/>
        <sz val="20"/>
      </font>
      <fill>
        <patternFill>
          <bgColor rgb="FFF8D0CC"/>
        </patternFill>
      </fill>
    </dxf>
    <dxf>
      <font>
        <name val="Arial"/>
        <charset val="1"/>
        <family val="0"/>
        <b val="1"/>
        <color rgb="FF444444"/>
      </font>
      <fill>
        <patternFill>
          <bgColor rgb="FFE4E7EB"/>
        </patternFill>
      </fill>
    </dxf>
    <dxf>
      <font>
        <name val="Arial"/>
        <charset val="1"/>
        <family val="0"/>
        <b val="1"/>
        <color rgb="FF1E6B35"/>
      </font>
      <fill>
        <patternFill>
          <bgColor rgb="FFD6F0DD"/>
        </patternFill>
      </fill>
    </dxf>
    <dxf>
      <font>
        <name val="Arial"/>
        <charset val="1"/>
        <family val="0"/>
        <b val="1"/>
        <color rgb="FF8A5A00"/>
      </font>
      <fill>
        <patternFill>
          <bgColor rgb="FFFFE8B3"/>
        </patternFill>
      </fill>
    </dxf>
    <dxf>
      <font>
        <name val="Arial"/>
        <charset val="1"/>
        <family val="0"/>
        <b val="1"/>
        <color rgb="FF9B1C13"/>
      </font>
      <fill>
        <patternFill>
          <bgColor rgb="FFF8D0CC"/>
        </patternFill>
      </fill>
    </dxf>
    <dxf>
      <font>
        <name val="Arial"/>
        <charset val="1"/>
        <family val="0"/>
        <b val="1"/>
        <color rgb="FF1E6B35"/>
        <sz val="14"/>
      </font>
      <fill>
        <patternFill>
          <bgColor rgb="FFD6F0DD"/>
        </patternFill>
      </fill>
    </dxf>
    <dxf>
      <font>
        <name val="Arial"/>
        <charset val="1"/>
        <family val="0"/>
        <b val="1"/>
        <color rgb="FF8A5A00"/>
        <sz val="14"/>
      </font>
      <fill>
        <patternFill>
          <bgColor rgb="FFFFE8B3"/>
        </patternFill>
      </fill>
    </dxf>
    <dxf>
      <font>
        <name val="Arial"/>
        <charset val="1"/>
        <family val="0"/>
        <b val="1"/>
        <color rgb="FF9B1C13"/>
        <sz val="14"/>
      </font>
      <fill>
        <patternFill>
          <bgColor rgb="FFF8D0CC"/>
        </patternFill>
      </fill>
    </dxf>
    <dxf>
      <fill>
        <patternFill>
          <bgColor rgb="FFB8C2CC"/>
        </patternFill>
      </fill>
    </dxf>
    <dxf>
      <fill>
        <patternFill>
          <bgColor rgb="FFE0645A"/>
        </patternFill>
      </fill>
    </dxf>
    <dxf>
      <fill>
        <patternFill>
          <bgColor rgb="FFF2B84B"/>
        </patternFill>
      </fill>
    </dxf>
    <dxf>
      <fill>
        <patternFill>
          <bgColor rgb="FF1F3A5F"/>
        </patternFill>
      </fill>
    </dxf>
    <dxf>
      <fill>
        <patternFill>
          <bgColor rgb="FF5FA8D3"/>
        </patternFill>
      </fill>
    </dxf>
    <dxf>
      <fill>
        <patternFill>
          <bgColor rgb="FFFFF1C1"/>
        </patternFill>
      </fill>
    </dxf>
    <dxf>
      <font>
        <name val="Arial"/>
        <charset val="1"/>
        <family val="0"/>
        <color rgb="FF666666"/>
      </font>
      <fill>
        <patternFill>
          <bgColor rgb="FFE4E7EB"/>
        </patternFill>
      </fill>
    </dxf>
  </dxfs>
  <colors>
    <indexedColors>
      <rgbColor rgb="FF000000"/>
      <rgbColor rgb="FFFFFFFF"/>
      <rgbColor rgb="FFFF0000"/>
      <rgbColor rgb="FF00FF00"/>
      <rgbColor rgb="FF0000FF"/>
      <rgbColor rgb="FFFFFF00"/>
      <rgbColor rgb="FFFF00FF"/>
      <rgbColor rgb="FF00FFFF"/>
      <rgbColor rgb="FF800000"/>
      <rgbColor rgb="FF1E6B35"/>
      <rgbColor rgb="FF000080"/>
      <rgbColor rgb="FF8A5A00"/>
      <rgbColor rgb="FF800080"/>
      <rgbColor rgb="FF2A7F8E"/>
      <rgbColor rgb="FFB8C2CC"/>
      <rgbColor rgb="FF878787"/>
      <rgbColor rgb="FF9999FF"/>
      <rgbColor rgb="FFC0504D"/>
      <rgbColor rgb="FFFFF7D6"/>
      <rgbColor rgb="FFEEF3F8"/>
      <rgbColor rgb="FF660066"/>
      <rgbColor rgb="FFE0645A"/>
      <rgbColor rgb="FF0066CC"/>
      <rgbColor rgb="FFC9D3DF"/>
      <rgbColor rgb="FF000080"/>
      <rgbColor rgb="FFFF00FF"/>
      <rgbColor rgb="FFFFFF00"/>
      <rgbColor rgb="FF00FFFF"/>
      <rgbColor rgb="FF800080"/>
      <rgbColor rgb="FF800000"/>
      <rgbColor rgb="FF008080"/>
      <rgbColor rgb="FF0000FF"/>
      <rgbColor rgb="FF00CCFF"/>
      <rgbColor rgb="FFE4E7EB"/>
      <rgbColor rgb="FFD6F0DD"/>
      <rgbColor rgb="FFFFF1C1"/>
      <rgbColor rgb="FFD9D9D9"/>
      <rgbColor rgb="FFFFE8B3"/>
      <rgbColor rgb="FFF9F9F9"/>
      <rgbColor rgb="FFF8D0CC"/>
      <rgbColor rgb="FF4F81BD"/>
      <rgbColor rgb="FF5FA8D3"/>
      <rgbColor rgb="FF99CC00"/>
      <rgbColor rgb="FFF2B84B"/>
      <rgbColor rgb="FFFF9900"/>
      <rgbColor rgb="FFFF6600"/>
      <rgbColor rgb="FF5B6B7F"/>
      <rgbColor rgb="FF9AA5B1"/>
      <rgbColor rgb="FF1F3A5F"/>
      <rgbColor rgb="FF666666"/>
      <rgbColor rgb="FF003300"/>
      <rgbColor rgb="FF444444"/>
      <rgbColor rgb="FF9B1C13"/>
      <rgbColor rgb="FF993366"/>
      <rgbColor rgb="FF333399"/>
      <rgbColor rgb="FF222222"/>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Tasks by status</a:t>
            </a:r>
          </a:p>
        </c:rich>
      </c:tx>
      <c:overlay val="0"/>
      <c:spPr>
        <a:noFill/>
        <a:ln w="0">
          <a:noFill/>
        </a:ln>
      </c:spPr>
    </c:title>
    <c:autoTitleDeleted val="0"/>
    <c:plotArea>
      <c:barChart>
        <c:barDir val="col"/>
        <c:grouping val="clustered"/>
        <c:varyColors val="0"/>
        <c:ser>
          <c:idx val="0"/>
          <c:order val="0"/>
          <c:tx>
            <c:strRef>
              <c:f>Dashboard!C38</c:f>
              <c:strCache>
                <c:ptCount val="1"/>
                <c:pt idx="0">
                  <c:v>Tasks</c:v>
                </c:pt>
              </c:strCache>
            </c:strRef>
          </c:tx>
          <c:spPr>
            <a:solidFill>
              <a:srgbClr val="4f81bd"/>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Dashboard!$B$39:$B$43</c:f>
              <c:strCache>
                <c:ptCount val="5"/>
                <c:pt idx="0">
                  <c:v>Complete</c:v>
                </c:pt>
                <c:pt idx="1">
                  <c:v>On Track</c:v>
                </c:pt>
                <c:pt idx="2">
                  <c:v>At Risk</c:v>
                </c:pt>
                <c:pt idx="3">
                  <c:v>Late</c:v>
                </c:pt>
                <c:pt idx="4">
                  <c:v>Not Started</c:v>
                </c:pt>
              </c:strCache>
            </c:strRef>
          </c:cat>
          <c:val>
            <c:numRef>
              <c:f>Dashboard!$C$39:$C$43</c:f>
              <c:numCache>
                <c:formatCode>General</c:formatCode>
                <c:ptCount val="5"/>
                <c:pt idx="0">
                  <c:v>8</c:v>
                </c:pt>
                <c:pt idx="1">
                  <c:v>2</c:v>
                </c:pt>
                <c:pt idx="2">
                  <c:v>2</c:v>
                </c:pt>
                <c:pt idx="3">
                  <c:v>2</c:v>
                </c:pt>
                <c:pt idx="4">
                  <c:v>17</c:v>
                </c:pt>
              </c:numCache>
            </c:numRef>
          </c:val>
        </c:ser>
        <c:gapWidth val="150"/>
        <c:overlap val="0"/>
        <c:axId val="20858912"/>
        <c:axId val="26187069"/>
      </c:barChart>
      <c:catAx>
        <c:axId val="20858912"/>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26187069"/>
        <c:crosses val="autoZero"/>
        <c:auto val="1"/>
        <c:lblAlgn val="ctr"/>
        <c:lblOffset val="100"/>
        <c:noMultiLvlLbl val="0"/>
      </c:catAx>
      <c:valAx>
        <c:axId val="26187069"/>
        <c:scaling>
          <c:orientation val="minMax"/>
        </c:scaling>
        <c:delete val="0"/>
        <c:axPos val="l"/>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20858912"/>
        <c:crosses val="autoZero"/>
        <c:crossBetween val="between"/>
      </c:valAx>
      <c:spPr>
        <a:noFill/>
        <a:ln w="0">
          <a:noFill/>
        </a:ln>
      </c:spPr>
    </c:plotArea>
    <c:plotVisOnly val="1"/>
    <c:dispBlanksAs val="gap"/>
  </c:chart>
  <c:spPr>
    <a:solidFill>
      <a:srgbClr val="ffffff"/>
    </a:solidFill>
    <a:ln w="9360">
      <a:solidFill>
        <a:srgbClr val="d9d9d9"/>
      </a:solidFill>
      <a:round/>
    </a:ln>
  </c:spPr>
</c:chartSpace>
</file>

<file path=xl/charts/chart2.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Revised budget vs forecast</a:t>
            </a:r>
          </a:p>
        </c:rich>
      </c:tx>
      <c:overlay val="0"/>
      <c:spPr>
        <a:noFill/>
        <a:ln w="0">
          <a:noFill/>
        </a:ln>
      </c:spPr>
    </c:title>
    <c:autoTitleDeleted val="0"/>
    <c:plotArea>
      <c:barChart>
        <c:barDir val="bar"/>
        <c:grouping val="clustered"/>
        <c:varyColors val="0"/>
        <c:ser>
          <c:idx val="0"/>
          <c:order val="0"/>
          <c:tx>
            <c:strRef>
              <c:f>Budget!D5</c:f>
              <c:strCache>
                <c:ptCount val="1"/>
                <c:pt idx="0">
                  <c:v>Revised Budget</c:v>
                </c:pt>
              </c:strCache>
            </c:strRef>
          </c:tx>
          <c:spPr>
            <a:solidFill>
              <a:srgbClr val="4f81bd"/>
            </a:solidFill>
            <a:ln w="9360">
              <a:solidFill>
                <a:srgbClr val="f9f9f9"/>
              </a:solidFill>
              <a:round/>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Budget!$A$6:$A$13</c:f>
              <c:strCache>
                <c:ptCount val="8"/>
                <c:pt idx="0">
                  <c:v>Design &amp; Permits</c:v>
                </c:pt>
                <c:pt idx="1">
                  <c:v>Construction</c:v>
                </c:pt>
                <c:pt idx="2">
                  <c:v>Electrical &amp; Data Cabling</c:v>
                </c:pt>
                <c:pt idx="3">
                  <c:v>IT Equipment</c:v>
                </c:pt>
                <c:pt idx="4">
                  <c:v>AV &amp; Conference Rooms</c:v>
                </c:pt>
                <c:pt idx="5">
                  <c:v>Furniture</c:v>
                </c:pt>
                <c:pt idx="6">
                  <c:v>Moving &amp; Logistics</c:v>
                </c:pt>
                <c:pt idx="7">
                  <c:v>Contingency</c:v>
                </c:pt>
              </c:strCache>
            </c:strRef>
          </c:cat>
          <c:val>
            <c:numRef>
              <c:f>Budget!$D$6:$D$13</c:f>
              <c:numCache>
                <c:formatCode>\$#,##0;"($"#,##0\);\-</c:formatCode>
                <c:ptCount val="8"/>
                <c:pt idx="0">
                  <c:v>38000</c:v>
                </c:pt>
                <c:pt idx="1">
                  <c:v>271800</c:v>
                </c:pt>
                <c:pt idx="2">
                  <c:v>44400</c:v>
                </c:pt>
                <c:pt idx="3">
                  <c:v>36000</c:v>
                </c:pt>
                <c:pt idx="4">
                  <c:v>18000</c:v>
                </c:pt>
                <c:pt idx="5">
                  <c:v>72000</c:v>
                </c:pt>
                <c:pt idx="6">
                  <c:v>14000</c:v>
                </c:pt>
                <c:pt idx="7">
                  <c:v>20800</c:v>
                </c:pt>
              </c:numCache>
            </c:numRef>
          </c:val>
        </c:ser>
        <c:ser>
          <c:idx val="1"/>
          <c:order val="1"/>
          <c:tx>
            <c:strRef>
              <c:f>Budget!H5</c:f>
              <c:strCache>
                <c:ptCount val="1"/>
                <c:pt idx="0">
                  <c:v>Forecast at Completion</c:v>
                </c:pt>
              </c:strCache>
            </c:strRef>
          </c:tx>
          <c:spPr>
            <a:solidFill>
              <a:srgbClr val="c0504d"/>
            </a:solidFill>
            <a:ln w="9360">
              <a:solidFill>
                <a:srgbClr val="f9f9f9"/>
              </a:solidFill>
              <a:round/>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Budget!$A$6:$A$13</c:f>
              <c:strCache>
                <c:ptCount val="8"/>
                <c:pt idx="0">
                  <c:v>Design &amp; Permits</c:v>
                </c:pt>
                <c:pt idx="1">
                  <c:v>Construction</c:v>
                </c:pt>
                <c:pt idx="2">
                  <c:v>Electrical &amp; Data Cabling</c:v>
                </c:pt>
                <c:pt idx="3">
                  <c:v>IT Equipment</c:v>
                </c:pt>
                <c:pt idx="4">
                  <c:v>AV &amp; Conference Rooms</c:v>
                </c:pt>
                <c:pt idx="5">
                  <c:v>Furniture</c:v>
                </c:pt>
                <c:pt idx="6">
                  <c:v>Moving &amp; Logistics</c:v>
                </c:pt>
                <c:pt idx="7">
                  <c:v>Contingency</c:v>
                </c:pt>
              </c:strCache>
            </c:strRef>
          </c:cat>
          <c:val>
            <c:numRef>
              <c:f>Budget!$H$6:$H$13</c:f>
              <c:numCache>
                <c:formatCode>\$#,##0;"($"#,##0\);\-</c:formatCode>
                <c:ptCount val="8"/>
                <c:pt idx="0">
                  <c:v>36500</c:v>
                </c:pt>
                <c:pt idx="1">
                  <c:v>272550</c:v>
                </c:pt>
                <c:pt idx="2">
                  <c:v>41900</c:v>
                </c:pt>
                <c:pt idx="3">
                  <c:v>34600</c:v>
                </c:pt>
                <c:pt idx="4">
                  <c:v>18000</c:v>
                </c:pt>
                <c:pt idx="5">
                  <c:v>74800</c:v>
                </c:pt>
                <c:pt idx="6">
                  <c:v>16200</c:v>
                </c:pt>
                <c:pt idx="7">
                  <c:v>7850</c:v>
                </c:pt>
              </c:numCache>
            </c:numRef>
          </c:val>
        </c:ser>
        <c:gapWidth val="150"/>
        <c:overlap val="0"/>
        <c:axId val="63655587"/>
        <c:axId val="40712748"/>
      </c:barChart>
      <c:catAx>
        <c:axId val="63655587"/>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40712748"/>
        <c:crosses val="autoZero"/>
        <c:auto val="1"/>
        <c:lblAlgn val="ctr"/>
        <c:lblOffset val="100"/>
        <c:noMultiLvlLbl val="0"/>
      </c:catAx>
      <c:valAx>
        <c:axId val="40712748"/>
        <c:scaling>
          <c:orientation val="minMax"/>
        </c:scaling>
        <c:delete val="0"/>
        <c:axPos val="l"/>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63655587"/>
        <c:crosses val="autoZero"/>
        <c:crossBetween val="between"/>
      </c:valAx>
      <c:spPr>
        <a:noFill/>
        <a:ln w="0">
          <a:noFill/>
        </a:ln>
      </c:spPr>
    </c:plotArea>
    <c:legend>
      <c:legendPos val="r"/>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
</Relationships>
</file>

<file path=xl/drawings/_rels/drawing2.xml.rels><?xml version="1.0" encoding="UTF-8"?>
<Relationships xmlns="http://schemas.openxmlformats.org/package/2006/relationships"><Relationship Id="rId1" Type="http://schemas.openxmlformats.org/officeDocument/2006/relationships/chart" Target="../charts/chart2.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4</xdr:col>
      <xdr:colOff>0</xdr:colOff>
      <xdr:row>35</xdr:row>
      <xdr:rowOff>130680</xdr:rowOff>
    </xdr:from>
    <xdr:to>
      <xdr:col>9</xdr:col>
      <xdr:colOff>231480</xdr:colOff>
      <xdr:row>46</xdr:row>
      <xdr:rowOff>184320</xdr:rowOff>
    </xdr:to>
    <xdr:graphicFrame>
      <xdr:nvGraphicFramePr>
        <xdr:cNvPr id="0" name="Chart 1"/>
        <xdr:cNvGraphicFramePr/>
      </xdr:nvGraphicFramePr>
      <xdr:xfrm>
        <a:off x="2819520" y="9334440"/>
        <a:ext cx="4319640" cy="233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15</xdr:row>
      <xdr:rowOff>131040</xdr:rowOff>
    </xdr:from>
    <xdr:to>
      <xdr:col>5</xdr:col>
      <xdr:colOff>911160</xdr:colOff>
      <xdr:row>30</xdr:row>
      <xdr:rowOff>153000</xdr:rowOff>
    </xdr:to>
    <xdr:graphicFrame>
      <xdr:nvGraphicFramePr>
        <xdr:cNvPr id="1" name="Chart 1"/>
        <xdr:cNvGraphicFramePr/>
      </xdr:nvGraphicFramePr>
      <xdr:xfrm>
        <a:off x="0" y="3238560"/>
        <a:ext cx="6479640" cy="287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comments" Target="../comments2.xml"/><Relationship Id="rId2" Type="http://schemas.openxmlformats.org/officeDocument/2006/relationships/drawing" Target="../drawings/drawing1.xml"/><Relationship Id="rId3" Type="http://schemas.openxmlformats.org/officeDocument/2006/relationships/vmlDrawing" Target="../drawings/vmlDrawing1.vml"/>
</Relationships>
</file>

<file path=xl/worksheets/_rels/sheet5.xml.rels><?xml version="1.0" encoding="UTF-8"?>
<Relationships xmlns="http://schemas.openxmlformats.org/package/2006/relationships"><Relationship Id="rId1" Type="http://schemas.openxmlformats.org/officeDocument/2006/relationships/comments" Target="../comments5.xml"/><Relationship Id="rId2" Type="http://schemas.openxmlformats.org/officeDocument/2006/relationships/drawing" Target="../drawings/drawing2.xml"/><Relationship Id="rId3" Type="http://schemas.openxmlformats.org/officeDocument/2006/relationships/vmlDrawing" Target="../drawings/vmlDrawing2.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5B6B7F"/>
    <pageSetUpPr fitToPage="true"/>
  </sheetPr>
  <dimension ref="B2:D4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28"/>
    <col collapsed="false" customWidth="true" hidden="false" outlineLevel="0" max="3" min="3" style="0" width="48"/>
    <col collapsed="false" customWidth="true" hidden="false" outlineLevel="0" max="4" min="4" style="0" width="58"/>
  </cols>
  <sheetData>
    <row r="2" customFormat="false" ht="22.05" hidden="false" customHeight="false" outlineLevel="0" collapsed="false">
      <c r="B2" s="1" t="s">
        <v>0</v>
      </c>
    </row>
    <row r="3" customFormat="false" ht="15" hidden="false" customHeight="false" outlineLevel="0" collapsed="false">
      <c r="B3" s="2" t="s">
        <v>1</v>
      </c>
    </row>
    <row r="5" customFormat="false" ht="15" hidden="false" customHeight="false" outlineLevel="0" collapsed="false">
      <c r="B5" s="3" t="s">
        <v>2</v>
      </c>
    </row>
    <row r="6" customFormat="false" ht="30" hidden="false" customHeight="true" outlineLevel="0" collapsed="false">
      <c r="B6" s="4" t="s">
        <v>3</v>
      </c>
      <c r="C6" s="4"/>
      <c r="D6" s="4"/>
    </row>
    <row r="7" customFormat="false" ht="30" hidden="false" customHeight="true" outlineLevel="0" collapsed="false">
      <c r="B7" s="4" t="s">
        <v>4</v>
      </c>
      <c r="C7" s="4"/>
      <c r="D7" s="4"/>
    </row>
    <row r="9" customFormat="false" ht="15" hidden="false" customHeight="false" outlineLevel="0" collapsed="false">
      <c r="B9" s="3" t="s">
        <v>5</v>
      </c>
    </row>
    <row r="10" customFormat="false" ht="30" hidden="false" customHeight="true" outlineLevel="0" collapsed="false">
      <c r="B10" s="4" t="s">
        <v>6</v>
      </c>
      <c r="C10" s="4"/>
      <c r="D10" s="4"/>
    </row>
    <row r="11" customFormat="false" ht="15" hidden="false" customHeight="false" outlineLevel="0" collapsed="false">
      <c r="B11" s="5" t="s">
        <v>7</v>
      </c>
      <c r="C11" s="5" t="s">
        <v>8</v>
      </c>
      <c r="D11" s="5" t="s">
        <v>9</v>
      </c>
    </row>
    <row r="12" customFormat="false" ht="33.75" hidden="false" customHeight="true" outlineLevel="0" collapsed="false">
      <c r="B12" s="6" t="s">
        <v>10</v>
      </c>
      <c r="C12" s="7" t="s">
        <v>11</v>
      </c>
      <c r="D12" s="7" t="s">
        <v>12</v>
      </c>
    </row>
    <row r="13" customFormat="false" ht="33.75" hidden="false" customHeight="true" outlineLevel="0" collapsed="false">
      <c r="B13" s="6" t="s">
        <v>13</v>
      </c>
      <c r="C13" s="7" t="s">
        <v>14</v>
      </c>
      <c r="D13" s="7" t="s">
        <v>15</v>
      </c>
    </row>
    <row r="14" customFormat="false" ht="33.75" hidden="false" customHeight="true" outlineLevel="0" collapsed="false">
      <c r="B14" s="6" t="s">
        <v>16</v>
      </c>
      <c r="C14" s="7" t="s">
        <v>17</v>
      </c>
      <c r="D14" s="7" t="s">
        <v>18</v>
      </c>
    </row>
    <row r="15" customFormat="false" ht="18.75" hidden="false" customHeight="true" outlineLevel="0" collapsed="false">
      <c r="B15" s="6" t="s">
        <v>19</v>
      </c>
      <c r="C15" s="7" t="s">
        <v>20</v>
      </c>
      <c r="D15" s="7" t="s">
        <v>21</v>
      </c>
    </row>
    <row r="16" customFormat="false" ht="30" hidden="false" customHeight="true" outlineLevel="0" collapsed="false">
      <c r="B16" s="4" t="s">
        <v>22</v>
      </c>
      <c r="C16" s="4"/>
      <c r="D16" s="4"/>
    </row>
    <row r="18" customFormat="false" ht="15" hidden="false" customHeight="false" outlineLevel="0" collapsed="false">
      <c r="B18" s="3" t="s">
        <v>23</v>
      </c>
    </row>
    <row r="19" customFormat="false" ht="15.75" hidden="false" customHeight="true" outlineLevel="0" collapsed="false">
      <c r="B19" s="8" t="s">
        <v>24</v>
      </c>
      <c r="C19" s="4" t="s">
        <v>25</v>
      </c>
      <c r="D19" s="4"/>
    </row>
    <row r="20" customFormat="false" ht="15.75" hidden="false" customHeight="true" outlineLevel="0" collapsed="false">
      <c r="B20" s="8" t="s">
        <v>19</v>
      </c>
      <c r="C20" s="4" t="s">
        <v>26</v>
      </c>
      <c r="D20" s="4"/>
    </row>
    <row r="21" customFormat="false" ht="15.75" hidden="false" customHeight="true" outlineLevel="0" collapsed="false">
      <c r="B21" s="8" t="s">
        <v>27</v>
      </c>
      <c r="C21" s="4" t="s">
        <v>28</v>
      </c>
      <c r="D21" s="4"/>
    </row>
    <row r="22" customFormat="false" ht="15.75" hidden="false" customHeight="true" outlineLevel="0" collapsed="false">
      <c r="B22" s="8" t="s">
        <v>29</v>
      </c>
      <c r="C22" s="4" t="s">
        <v>30</v>
      </c>
      <c r="D22" s="4"/>
    </row>
    <row r="23" customFormat="false" ht="15.75" hidden="false" customHeight="true" outlineLevel="0" collapsed="false">
      <c r="B23" s="8" t="s">
        <v>31</v>
      </c>
      <c r="C23" s="4" t="s">
        <v>32</v>
      </c>
      <c r="D23" s="4"/>
    </row>
    <row r="24" customFormat="false" ht="15.75" hidden="false" customHeight="true" outlineLevel="0" collapsed="false">
      <c r="B24" s="8" t="s">
        <v>33</v>
      </c>
      <c r="C24" s="4" t="s">
        <v>34</v>
      </c>
      <c r="D24" s="4"/>
    </row>
    <row r="25" customFormat="false" ht="15.75" hidden="false" customHeight="true" outlineLevel="0" collapsed="false">
      <c r="B25" s="8" t="s">
        <v>35</v>
      </c>
      <c r="C25" s="4" t="s">
        <v>36</v>
      </c>
      <c r="D25" s="4"/>
    </row>
    <row r="26" customFormat="false" ht="15.75" hidden="false" customHeight="true" outlineLevel="0" collapsed="false">
      <c r="B26" s="8" t="s">
        <v>37</v>
      </c>
      <c r="C26" s="4" t="s">
        <v>38</v>
      </c>
      <c r="D26" s="4"/>
    </row>
    <row r="27" customFormat="false" ht="15.75" hidden="false" customHeight="true" outlineLevel="0" collapsed="false">
      <c r="B27" s="8" t="s">
        <v>39</v>
      </c>
      <c r="C27" s="4" t="s">
        <v>40</v>
      </c>
      <c r="D27" s="4"/>
    </row>
    <row r="29" customFormat="false" ht="15" hidden="false" customHeight="false" outlineLevel="0" collapsed="false">
      <c r="B29" s="3" t="s">
        <v>41</v>
      </c>
    </row>
    <row r="30" customFormat="false" ht="15.75" hidden="false" customHeight="true" outlineLevel="0" collapsed="false">
      <c r="B30" s="4" t="s">
        <v>42</v>
      </c>
      <c r="C30" s="4"/>
      <c r="D30" s="4"/>
    </row>
    <row r="31" customFormat="false" ht="15.75" hidden="false" customHeight="true" outlineLevel="0" collapsed="false">
      <c r="B31" s="4" t="s">
        <v>43</v>
      </c>
      <c r="C31" s="4"/>
      <c r="D31" s="4"/>
    </row>
    <row r="32" customFormat="false" ht="15.75" hidden="false" customHeight="true" outlineLevel="0" collapsed="false">
      <c r="B32" s="4" t="s">
        <v>44</v>
      </c>
      <c r="C32" s="4"/>
      <c r="D32" s="4"/>
    </row>
    <row r="33" customFormat="false" ht="15.75" hidden="false" customHeight="true" outlineLevel="0" collapsed="false">
      <c r="B33" s="4" t="s">
        <v>45</v>
      </c>
      <c r="C33" s="4"/>
      <c r="D33" s="4"/>
    </row>
    <row r="35" customFormat="false" ht="15" hidden="false" customHeight="false" outlineLevel="0" collapsed="false">
      <c r="B35" s="3" t="s">
        <v>46</v>
      </c>
    </row>
    <row r="36" customFormat="false" ht="30" hidden="false" customHeight="true" outlineLevel="0" collapsed="false">
      <c r="B36" s="4" t="s">
        <v>47</v>
      </c>
      <c r="C36" s="4"/>
      <c r="D36" s="4"/>
    </row>
    <row r="37" customFormat="false" ht="30" hidden="false" customHeight="true" outlineLevel="0" collapsed="false">
      <c r="B37" s="4" t="s">
        <v>48</v>
      </c>
      <c r="C37" s="4"/>
      <c r="D37" s="4"/>
    </row>
    <row r="38" customFormat="false" ht="30" hidden="false" customHeight="true" outlineLevel="0" collapsed="false">
      <c r="B38" s="4" t="s">
        <v>49</v>
      </c>
      <c r="C38" s="4"/>
      <c r="D38" s="4"/>
    </row>
    <row r="39" customFormat="false" ht="30" hidden="false" customHeight="true" outlineLevel="0" collapsed="false">
      <c r="B39" s="4" t="s">
        <v>50</v>
      </c>
      <c r="C39" s="4"/>
      <c r="D39" s="4"/>
    </row>
    <row r="40" customFormat="false" ht="15.75" hidden="false" customHeight="true" outlineLevel="0" collapsed="false">
      <c r="B40" s="4" t="s">
        <v>51</v>
      </c>
      <c r="C40" s="4"/>
      <c r="D40" s="4"/>
    </row>
  </sheetData>
  <mergeCells count="22">
    <mergeCell ref="B6:D6"/>
    <mergeCell ref="B7:D7"/>
    <mergeCell ref="B10:D10"/>
    <mergeCell ref="B16:D16"/>
    <mergeCell ref="C19:D19"/>
    <mergeCell ref="C20:D20"/>
    <mergeCell ref="C21:D21"/>
    <mergeCell ref="C22:D22"/>
    <mergeCell ref="C23:D23"/>
    <mergeCell ref="C24:D24"/>
    <mergeCell ref="C25:D25"/>
    <mergeCell ref="C26:D26"/>
    <mergeCell ref="C27:D27"/>
    <mergeCell ref="B30:D30"/>
    <mergeCell ref="B31:D31"/>
    <mergeCell ref="B32:D32"/>
    <mergeCell ref="B33:D33"/>
    <mergeCell ref="B36:D36"/>
    <mergeCell ref="B37:D37"/>
    <mergeCell ref="B38:D38"/>
    <mergeCell ref="B39:D39"/>
    <mergeCell ref="B40:D40"/>
  </mergeCells>
  <printOptions headings="false" gridLines="false" gridLinesSet="true" horizontalCentered="true" verticalCentered="false"/>
  <pageMargins left="0.4" right="0.4" top="0.5" bottom="0.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F3A5F"/>
    <pageSetUpPr fitToPage="true"/>
  </sheetPr>
  <dimension ref="A1:L43"/>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17"/>
    <col collapsed="false" customWidth="true" hidden="false" outlineLevel="0" max="3" min="3" style="0" width="12"/>
    <col collapsed="false" customWidth="true" hidden="false" outlineLevel="0" max="4" min="4" style="0" width="9"/>
    <col collapsed="false" customWidth="true" hidden="false" outlineLevel="0" max="7" min="5" style="0" width="12"/>
    <col collapsed="false" customWidth="true" hidden="false" outlineLevel="0" max="8" min="8" style="0" width="10"/>
    <col collapsed="false" customWidth="true" hidden="false" outlineLevel="0" max="12" min="9" style="0" width="12"/>
    <col collapsed="false" customWidth="true" hidden="false" outlineLevel="0" max="13" min="13" style="0" width="3"/>
  </cols>
  <sheetData>
    <row r="1" customFormat="false" ht="19.7" hidden="false" customHeight="false" outlineLevel="0" collapsed="false">
      <c r="A1" s="9" t="s">
        <v>52</v>
      </c>
    </row>
    <row r="2" customFormat="false" ht="15" hidden="false" customHeight="false" outlineLevel="0" collapsed="false">
      <c r="A2" s="2" t="s">
        <v>53</v>
      </c>
    </row>
    <row r="4" customFormat="false" ht="15" hidden="false" customHeight="false" outlineLevel="0" collapsed="false">
      <c r="B4" s="10" t="s">
        <v>54</v>
      </c>
      <c r="C4" s="11" t="n">
        <v>46311</v>
      </c>
      <c r="E4" s="10" t="s">
        <v>55</v>
      </c>
      <c r="F4" s="12" t="s">
        <v>56</v>
      </c>
    </row>
    <row r="6" customFormat="false" ht="25.5" hidden="false" customHeight="true" outlineLevel="0" collapsed="false">
      <c r="B6" s="13" t="s">
        <v>57</v>
      </c>
      <c r="E6" s="14" t="s">
        <v>58</v>
      </c>
      <c r="F6" s="14"/>
      <c r="G6" s="14" t="s">
        <v>59</v>
      </c>
      <c r="H6" s="14"/>
      <c r="I6" s="14" t="s">
        <v>60</v>
      </c>
      <c r="J6" s="14"/>
      <c r="K6" s="14" t="s">
        <v>61</v>
      </c>
      <c r="L6" s="14"/>
    </row>
    <row r="7" customFormat="false" ht="30" hidden="false" customHeight="true" outlineLevel="0" collapsed="false">
      <c r="B7" s="15" t="str">
        <f aca="false">IF(OR(C12&gt;=3,C13="Yes",C15&gt;=3),"Red",IF(OR(C12&gt;=1,C14&gt;=1,C15&gt;=1),"Amber","Green"))</f>
        <v>Amber</v>
      </c>
      <c r="C7" s="15"/>
      <c r="E7" s="16" t="n">
        <f aca="false">SUMPRODUCT(Schedule!$F$6:$F$60,Schedule!$I$6:$I$60)/SUM(Schedule!$F$6:$F$60)</f>
        <v>0.435714285714286</v>
      </c>
      <c r="F7" s="16"/>
      <c r="G7" s="16" t="n">
        <f aca="false">SUMPRODUCT(Schedule!$F$6:$F$60,Schedule!$J$6:$J$60)/SUM(Schedule!$F$6:$F$60)</f>
        <v>0.491596638655462</v>
      </c>
      <c r="H7" s="16"/>
      <c r="I7" s="17" t="n">
        <f aca="false">COUNTIF(Schedule!$K$6:$K$60,"Late")</f>
        <v>2</v>
      </c>
      <c r="J7" s="17"/>
      <c r="K7" s="17" t="n">
        <f aca="false">COUNTIFS(RAID_Log!$H$6:$H$60,"High",RAID_Log!$K$6:$K$60,"&lt;&gt;Closed")</f>
        <v>2</v>
      </c>
      <c r="L7" s="17"/>
    </row>
    <row r="8" customFormat="false" ht="15" hidden="false" customHeight="false" outlineLevel="0" collapsed="false">
      <c r="B8" s="15"/>
      <c r="C8" s="15"/>
    </row>
    <row r="9" customFormat="false" ht="39.75" hidden="false" customHeight="true" outlineLevel="0" collapsed="false">
      <c r="B9" s="18" t="s">
        <v>62</v>
      </c>
      <c r="C9" s="18"/>
    </row>
    <row r="10" customFormat="false" ht="25.5" hidden="false" customHeight="true" outlineLevel="0" collapsed="false">
      <c r="B10" s="18"/>
      <c r="C10" s="18"/>
      <c r="E10" s="14" t="s">
        <v>63</v>
      </c>
      <c r="F10" s="14"/>
      <c r="G10" s="14" t="s">
        <v>64</v>
      </c>
      <c r="H10" s="14"/>
      <c r="I10" s="14" t="s">
        <v>65</v>
      </c>
      <c r="J10" s="14"/>
      <c r="K10" s="14" t="s">
        <v>66</v>
      </c>
      <c r="L10" s="14"/>
    </row>
    <row r="11" customFormat="false" ht="30" hidden="false" customHeight="true" outlineLevel="0" collapsed="false">
      <c r="B11" s="19" t="s">
        <v>67</v>
      </c>
      <c r="C11" s="20"/>
      <c r="E11" s="21" t="n">
        <f aca="false">Budget!$D$14</f>
        <v>515000</v>
      </c>
      <c r="F11" s="21"/>
      <c r="G11" s="21" t="n">
        <f aca="false">Budget!$H$14</f>
        <v>502400</v>
      </c>
      <c r="H11" s="21"/>
      <c r="I11" s="22" t="n">
        <f aca="false">Budget!$I$14</f>
        <v>12600</v>
      </c>
      <c r="J11" s="22"/>
      <c r="K11" s="21" t="n">
        <f aca="false">Budget!$D$13-Budget!$G$13</f>
        <v>12950</v>
      </c>
      <c r="L11" s="21"/>
    </row>
    <row r="12" customFormat="false" ht="15" hidden="false" customHeight="false" outlineLevel="0" collapsed="false">
      <c r="B12" s="23" t="s">
        <v>68</v>
      </c>
      <c r="C12" s="24" t="n">
        <f aca="false">COUNTIF(Schedule!$K$6:$K$60,"Late")</f>
        <v>2</v>
      </c>
    </row>
    <row r="13" customFormat="false" ht="15" hidden="false" customHeight="false" outlineLevel="0" collapsed="false">
      <c r="B13" s="23" t="s">
        <v>69</v>
      </c>
      <c r="C13" s="25" t="str">
        <f aca="false">IF(Budget!$I$14&lt;0,"Yes","No")</f>
        <v>No</v>
      </c>
    </row>
    <row r="14" customFormat="false" ht="25.5" hidden="false" customHeight="true" outlineLevel="0" collapsed="false">
      <c r="B14" s="23" t="s">
        <v>70</v>
      </c>
      <c r="C14" s="24" t="n">
        <f aca="false">COUNTIF(Budget!$K$6:$K$13,"Over")</f>
        <v>3</v>
      </c>
      <c r="E14" s="14" t="s">
        <v>71</v>
      </c>
      <c r="F14" s="14"/>
      <c r="G14" s="14" t="s">
        <v>72</v>
      </c>
      <c r="H14" s="14"/>
      <c r="I14" s="14" t="s">
        <v>73</v>
      </c>
      <c r="J14" s="14"/>
      <c r="K14" s="14" t="s">
        <v>74</v>
      </c>
      <c r="L14" s="14"/>
    </row>
    <row r="15" customFormat="false" ht="30" hidden="false" customHeight="true" outlineLevel="0" collapsed="false">
      <c r="B15" s="23" t="s">
        <v>75</v>
      </c>
      <c r="C15" s="24" t="n">
        <f aca="false">COUNTIFS(RAID_Log!$H$6:$H$60,"High",RAID_Log!$K$6:$K$60,"&lt;&gt;Closed")</f>
        <v>2</v>
      </c>
      <c r="E15" s="26" t="str">
        <f aca="false">COUNTIF(RFI_Submittals!$I$6:$I$60,"Open")+COUNTIF(RFI_Submittals!$I$6:$I$60,"Overdue")&amp;" / "&amp;COUNTIF(RFI_Submittals!$I$6:$I$60,"Overdue")</f>
        <v>4 / 1</v>
      </c>
      <c r="F15" s="26"/>
      <c r="G15" s="21" t="n">
        <f aca="false">SUMIFS(ChangeOrders!$E$6:$E$60,ChangeOrders!$H$6:$H$60,"Pending")</f>
        <v>7850</v>
      </c>
      <c r="H15" s="21"/>
      <c r="I15" s="17" t="n">
        <f aca="false">COUNTIF(Action_Items!$H$6:$H$60,"OVERDUE")</f>
        <v>2</v>
      </c>
      <c r="J15" s="17"/>
      <c r="K15" s="17" t="n">
        <f aca="false">MAX(0,INDEX(Schedule!$G$6:$G$60,MATCH("Move weekend",Schedule!$C$6:$C$60,0))-AsOf)</f>
        <v>59</v>
      </c>
      <c r="L15" s="17"/>
    </row>
    <row r="18" customFormat="false" ht="15" hidden="false" customHeight="false" outlineLevel="0" collapsed="false">
      <c r="B18" s="27" t="s">
        <v>76</v>
      </c>
      <c r="C18" s="20"/>
      <c r="D18" s="20"/>
      <c r="E18" s="20"/>
      <c r="F18" s="20"/>
      <c r="G18" s="20"/>
      <c r="H18" s="20"/>
      <c r="I18" s="20"/>
      <c r="J18" s="20"/>
      <c r="K18" s="20"/>
      <c r="L18" s="20"/>
    </row>
    <row r="19" customFormat="false" ht="30" hidden="false" customHeight="true" outlineLevel="0" collapsed="false">
      <c r="B19" s="28" t="s">
        <v>77</v>
      </c>
      <c r="C19" s="28"/>
      <c r="D19" s="28" t="s">
        <v>78</v>
      </c>
      <c r="E19" s="28" t="s">
        <v>79</v>
      </c>
      <c r="F19" s="28" t="s">
        <v>80</v>
      </c>
      <c r="G19" s="28" t="s">
        <v>81</v>
      </c>
      <c r="H19" s="28" t="s">
        <v>82</v>
      </c>
      <c r="I19" s="28" t="s">
        <v>83</v>
      </c>
      <c r="J19" s="28" t="s">
        <v>84</v>
      </c>
    </row>
    <row r="20" customFormat="false" ht="15" hidden="false" customHeight="false" outlineLevel="0" collapsed="false">
      <c r="B20" s="23" t="s">
        <v>85</v>
      </c>
      <c r="C20" s="23"/>
      <c r="D20" s="25" t="n">
        <f aca="false">COUNTIF(Schedule!$B$6:$B$60,B20)</f>
        <v>4</v>
      </c>
      <c r="E20" s="29" t="n">
        <f aca="false">IFERROR(SUMPRODUCT(--(Schedule!$B$6:$B$60=B20),Schedule!$F$6:$F$60,Schedule!$I$6:$I$60)/SUMIF(Schedule!$B$6:$B$60,B20,Schedule!$F$6:$F$60),0)</f>
        <v>0.493421052631579</v>
      </c>
      <c r="F20" s="30" t="n">
        <f aca="false">IFERROR(INDEX(Schedule!$E$6:$E$60,MATCH(B20,Schedule!$AI$6:$AI$60,0)),"")</f>
        <v>46265</v>
      </c>
      <c r="G20" s="30" t="n">
        <f aca="false">IFERROR(INDEX(Schedule!$G$6:$G$60,MATCH(B20,Schedule!$AJ$6:$AJ$60,0)),"")</f>
        <v>46370</v>
      </c>
      <c r="H20" s="25" t="n">
        <f aca="false">COUNTIFS(Schedule!$B$6:$B$60,B20,Schedule!$K$6:$K$60,"Late")</f>
        <v>0</v>
      </c>
      <c r="I20" s="25" t="n">
        <f aca="false">COUNTIFS(Schedule!$B$6:$B$60,B20,Schedule!$K$6:$K$60,"At Risk")</f>
        <v>0</v>
      </c>
      <c r="J20" s="25" t="str">
        <f aca="false">IF(E20&gt;=1,"Complete",IF(H20&gt;0,"Late",IF(I20&gt;0,"At Risk",IF(F20&gt;AsOf,"Not Started","On Track"))))</f>
        <v>On Track</v>
      </c>
    </row>
    <row r="21" customFormat="false" ht="15" hidden="false" customHeight="false" outlineLevel="0" collapsed="false">
      <c r="B21" s="23" t="s">
        <v>86</v>
      </c>
      <c r="C21" s="23"/>
      <c r="D21" s="25" t="n">
        <f aca="false">COUNTIF(Schedule!$B$6:$B$60,B21)</f>
        <v>4</v>
      </c>
      <c r="E21" s="29" t="n">
        <f aca="false">IFERROR(SUMPRODUCT(--(Schedule!$B$6:$B$60=B21),Schedule!$F$6:$F$60,Schedule!$I$6:$I$60)/SUMIF(Schedule!$B$6:$B$60,B21,Schedule!$F$6:$F$60),0)</f>
        <v>1</v>
      </c>
      <c r="F21" s="30" t="n">
        <f aca="false">IFERROR(INDEX(Schedule!$E$6:$E$60,MATCH(B21,Schedule!$AI$6:$AI$60,0)),"")</f>
        <v>46273</v>
      </c>
      <c r="G21" s="30" t="n">
        <f aca="false">IFERROR(INDEX(Schedule!$G$6:$G$60,MATCH(B21,Schedule!$AJ$6:$AJ$60,0)),"")</f>
        <v>46308</v>
      </c>
      <c r="H21" s="25" t="n">
        <f aca="false">COUNTIFS(Schedule!$B$6:$B$60,B21,Schedule!$K$6:$K$60,"Late")</f>
        <v>0</v>
      </c>
      <c r="I21" s="25" t="n">
        <f aca="false">COUNTIFS(Schedule!$B$6:$B$60,B21,Schedule!$K$6:$K$60,"At Risk")</f>
        <v>0</v>
      </c>
      <c r="J21" s="25" t="str">
        <f aca="false">IF(E21&gt;=1,"Complete",IF(H21&gt;0,"Late",IF(I21&gt;0,"At Risk",IF(F21&gt;AsOf,"Not Started","On Track"))))</f>
        <v>Complete</v>
      </c>
    </row>
    <row r="22" customFormat="false" ht="15" hidden="false" customHeight="false" outlineLevel="0" collapsed="false">
      <c r="B22" s="23" t="s">
        <v>87</v>
      </c>
      <c r="C22" s="23"/>
      <c r="D22" s="25" t="n">
        <f aca="false">COUNTIF(Schedule!$B$6:$B$60,B22)</f>
        <v>9</v>
      </c>
      <c r="E22" s="29" t="n">
        <f aca="false">IFERROR(SUMPRODUCT(--(Schedule!$B$6:$B$60=B22),Schedule!$F$6:$F$60,Schedule!$I$6:$I$60)/SUMIF(Schedule!$B$6:$B$60,B22,Schedule!$F$6:$F$60),0)</f>
        <v>0.0625</v>
      </c>
      <c r="F22" s="30" t="n">
        <f aca="false">IFERROR(INDEX(Schedule!$E$6:$E$60,MATCH(B22,Schedule!$AI$6:$AI$60,0)),"")</f>
        <v>46309</v>
      </c>
      <c r="G22" s="30" t="n">
        <f aca="false">IFERROR(INDEX(Schedule!$G$6:$G$60,MATCH(B22,Schedule!$AJ$6:$AJ$60,0)),"")</f>
        <v>46364</v>
      </c>
      <c r="H22" s="25" t="n">
        <f aca="false">COUNTIFS(Schedule!$B$6:$B$60,B22,Schedule!$K$6:$K$60,"Late")</f>
        <v>0</v>
      </c>
      <c r="I22" s="25" t="n">
        <f aca="false">COUNTIFS(Schedule!$B$6:$B$60,B22,Schedule!$K$6:$K$60,"At Risk")</f>
        <v>0</v>
      </c>
      <c r="J22" s="25" t="str">
        <f aca="false">IF(E22&gt;=1,"Complete",IF(H22&gt;0,"Late",IF(I22&gt;0,"At Risk",IF(F22&gt;AsOf,"Not Started","On Track"))))</f>
        <v>On Track</v>
      </c>
    </row>
    <row r="23" customFormat="false" ht="15" hidden="false" customHeight="false" outlineLevel="0" collapsed="false">
      <c r="B23" s="23" t="s">
        <v>88</v>
      </c>
      <c r="C23" s="23"/>
      <c r="D23" s="25" t="n">
        <f aca="false">COUNTIF(Schedule!$B$6:$B$60,B23)</f>
        <v>6</v>
      </c>
      <c r="E23" s="29" t="n">
        <f aca="false">IFERROR(SUMPRODUCT(--(Schedule!$B$6:$B$60=B23),Schedule!$F$6:$F$60,Schedule!$I$6:$I$60)/SUMIF(Schedule!$B$6:$B$60,B23,Schedule!$F$6:$F$60),0)</f>
        <v>0.460869565217391</v>
      </c>
      <c r="F23" s="30" t="n">
        <f aca="false">IFERROR(INDEX(Schedule!$E$6:$E$60,MATCH(B23,Schedule!$AI$6:$AI$60,0)),"")</f>
        <v>46286</v>
      </c>
      <c r="G23" s="30" t="n">
        <f aca="false">IFERROR(INDEX(Schedule!$G$6:$G$60,MATCH(B23,Schedule!$AJ$6:$AJ$60,0)),"")</f>
        <v>46359</v>
      </c>
      <c r="H23" s="25" t="n">
        <f aca="false">COUNTIFS(Schedule!$B$6:$B$60,B23,Schedule!$K$6:$K$60,"Late")</f>
        <v>1</v>
      </c>
      <c r="I23" s="25" t="n">
        <f aca="false">COUNTIFS(Schedule!$B$6:$B$60,B23,Schedule!$K$6:$K$60,"At Risk")</f>
        <v>1</v>
      </c>
      <c r="J23" s="25" t="str">
        <f aca="false">IF(E23&gt;=1,"Complete",IF(H23&gt;0,"Late",IF(I23&gt;0,"At Risk",IF(F23&gt;AsOf,"Not Started","On Track"))))</f>
        <v>Late</v>
      </c>
    </row>
    <row r="24" customFormat="false" ht="15" hidden="false" customHeight="false" outlineLevel="0" collapsed="false">
      <c r="B24" s="23" t="s">
        <v>89</v>
      </c>
      <c r="C24" s="23"/>
      <c r="D24" s="25" t="n">
        <f aca="false">COUNTIF(Schedule!$B$6:$B$60,B24)</f>
        <v>6</v>
      </c>
      <c r="E24" s="29" t="n">
        <f aca="false">IFERROR(SUMPRODUCT(--(Schedule!$B$6:$B$60=B24),Schedule!$F$6:$F$60,Schedule!$I$6:$I$60)/SUMIF(Schedule!$B$6:$B$60,B24,Schedule!$F$6:$F$60),0)</f>
        <v>0.379310344827586</v>
      </c>
      <c r="F24" s="30" t="n">
        <f aca="false">IFERROR(INDEX(Schedule!$E$6:$E$60,MATCH(B24,Schedule!$AI$6:$AI$60,0)),"")</f>
        <v>46293</v>
      </c>
      <c r="G24" s="30" t="n">
        <f aca="false">IFERROR(INDEX(Schedule!$G$6:$G$60,MATCH(B24,Schedule!$AJ$6:$AJ$60,0)),"")</f>
        <v>46372</v>
      </c>
      <c r="H24" s="25" t="n">
        <f aca="false">COUNTIFS(Schedule!$B$6:$B$60,B24,Schedule!$K$6:$K$60,"Late")</f>
        <v>1</v>
      </c>
      <c r="I24" s="25" t="n">
        <f aca="false">COUNTIFS(Schedule!$B$6:$B$60,B24,Schedule!$K$6:$K$60,"At Risk")</f>
        <v>1</v>
      </c>
      <c r="J24" s="25" t="str">
        <f aca="false">IF(E24&gt;=1,"Complete",IF(H24&gt;0,"Late",IF(I24&gt;0,"At Risk",IF(F24&gt;AsOf,"Not Started","On Track"))))</f>
        <v>Late</v>
      </c>
    </row>
    <row r="25" customFormat="false" ht="15" hidden="false" customHeight="false" outlineLevel="0" collapsed="false">
      <c r="B25" s="23" t="s">
        <v>90</v>
      </c>
      <c r="C25" s="23"/>
      <c r="D25" s="25" t="n">
        <f aca="false">COUNTIF(Schedule!$B$6:$B$60,B25)</f>
        <v>2</v>
      </c>
      <c r="E25" s="29" t="n">
        <f aca="false">IFERROR(SUMPRODUCT(--(Schedule!$B$6:$B$60=B25),Schedule!$F$6:$F$60,Schedule!$I$6:$I$60)/SUMIF(Schedule!$B$6:$B$60,B25,Schedule!$F$6:$F$60),0)</f>
        <v>0</v>
      </c>
      <c r="F25" s="30" t="n">
        <f aca="false">IFERROR(INDEX(Schedule!$E$6:$E$60,MATCH(B25,Schedule!$AI$6:$AI$60,0)),"")</f>
        <v>46371</v>
      </c>
      <c r="G25" s="30" t="n">
        <f aca="false">IFERROR(INDEX(Schedule!$G$6:$G$60,MATCH(B25,Schedule!$AJ$6:$AJ$60,0)),"")</f>
        <v>46379</v>
      </c>
      <c r="H25" s="25" t="n">
        <f aca="false">COUNTIFS(Schedule!$B$6:$B$60,B25,Schedule!$K$6:$K$60,"Late")</f>
        <v>0</v>
      </c>
      <c r="I25" s="25" t="n">
        <f aca="false">COUNTIFS(Schedule!$B$6:$B$60,B25,Schedule!$K$6:$K$60,"At Risk")</f>
        <v>0</v>
      </c>
      <c r="J25" s="25" t="str">
        <f aca="false">IF(E25&gt;=1,"Complete",IF(H25&gt;0,"Late",IF(I25&gt;0,"At Risk",IF(F25&gt;AsOf,"Not Started","On Track"))))</f>
        <v>Not Started</v>
      </c>
    </row>
    <row r="28" customFormat="false" ht="15" hidden="false" customHeight="false" outlineLevel="0" collapsed="false">
      <c r="B28" s="27" t="s">
        <v>91</v>
      </c>
      <c r="C28" s="20"/>
      <c r="D28" s="20"/>
      <c r="E28" s="20"/>
      <c r="F28" s="20"/>
      <c r="H28" s="27" t="s">
        <v>92</v>
      </c>
      <c r="I28" s="20"/>
      <c r="J28" s="20"/>
      <c r="K28" s="20"/>
      <c r="L28" s="20"/>
    </row>
    <row r="29" customFormat="false" ht="30" hidden="false" customHeight="true" outlineLevel="0" collapsed="false">
      <c r="B29" s="28" t="s">
        <v>93</v>
      </c>
      <c r="C29" s="28"/>
      <c r="D29" s="28"/>
      <c r="E29" s="28" t="s">
        <v>94</v>
      </c>
      <c r="H29" s="28" t="s">
        <v>95</v>
      </c>
      <c r="I29" s="28" t="s">
        <v>96</v>
      </c>
      <c r="J29" s="28"/>
      <c r="K29" s="28"/>
      <c r="L29" s="28" t="s">
        <v>97</v>
      </c>
    </row>
    <row r="30" customFormat="false" ht="27.75" hidden="false" customHeight="true" outlineLevel="0" collapsed="false">
      <c r="B30" s="23" t="str">
        <f aca="false">IFERROR(INDEX(Schedule!$C$6:$C$60,MATCH(SMALL(Schedule!$N$6:$N$60,1),Schedule!$N$6:$N$60,0)),"—")</f>
        <v>Rough-in inspections passed</v>
      </c>
      <c r="C30" s="23"/>
      <c r="D30" s="23"/>
      <c r="E30" s="30" t="n">
        <f aca="false">IFERROR(INT(SMALL(Schedule!$N$6:$N$60,1)),"")</f>
        <v>46332</v>
      </c>
      <c r="H30" s="23" t="str">
        <f aca="false">IFERROR(INDEX(RAID_Log!$A$6:$A$60,MATCH(LARGE(RAID_Log!$N$6:$N$60,1),RAID_Log!$N$6:$N$60,0)),"—")</f>
        <v>R-01</v>
      </c>
      <c r="I30" s="7" t="str">
        <f aca="false">IFERROR(INDEX(RAID_Log!$C$6:$C$60,MATCH(LARGE(RAID_Log!$N$6:$N$60,1),RAID_Log!$N$6:$N$60,0)),"")</f>
        <v>ISP circuit lead time (45–60 days) may miss the move date</v>
      </c>
      <c r="J30" s="7"/>
      <c r="K30" s="7"/>
      <c r="L30" s="25" t="n">
        <f aca="false">IFERROR(INT(LARGE(RAID_Log!$N$6:$N$60,1)),"")</f>
        <v>20</v>
      </c>
    </row>
    <row r="31" customFormat="false" ht="27.75" hidden="false" customHeight="true" outlineLevel="0" collapsed="false">
      <c r="B31" s="23" t="str">
        <f aca="false">IFERROR(INDEX(Schedule!$C$6:$C$60,MATCH(SMALL(Schedule!$N$6:$N$60,2),Schedule!$N$6:$N$60,0)),"—")</f>
        <v>Network &amp; AV testing sign-off</v>
      </c>
      <c r="C31" s="23"/>
      <c r="D31" s="23"/>
      <c r="E31" s="30" t="n">
        <f aca="false">IFERROR(INT(SMALL(Schedule!$N$6:$N$60,2)),"")</f>
        <v>46359</v>
      </c>
      <c r="H31" s="23" t="str">
        <f aca="false">IFERROR(INDEX(RAID_Log!$A$6:$A$60,MATCH(LARGE(RAID_Log!$N$6:$N$60,2),RAID_Log!$N$6:$N$60,0)),"—")</f>
        <v>I-01</v>
      </c>
      <c r="I31" s="7" t="str">
        <f aca="false">IFERROR(INDEX(RAID_Log!$C$6:$C$60,MATCH(LARGE(RAID_Log!$N$6:$N$60,2),RAID_Log!$N$6:$N$60,0)),"")</f>
        <v>East-wing floor is out of level; needs leveling compound</v>
      </c>
      <c r="J31" s="7"/>
      <c r="K31" s="7"/>
      <c r="L31" s="25" t="n">
        <f aca="false">IFERROR(INT(LARGE(RAID_Log!$N$6:$N$60,2)),"")</f>
        <v>15</v>
      </c>
    </row>
    <row r="32" customFormat="false" ht="27.75" hidden="false" customHeight="true" outlineLevel="0" collapsed="false">
      <c r="B32" s="23" t="str">
        <f aca="false">IFERROR(INDEX(Schedule!$C$6:$C$60,MATCH(SMALL(Schedule!$N$6:$N$60,3),Schedule!$N$6:$N$60,0)),"—")</f>
        <v>Final inspection &amp; certificate of occupancy</v>
      </c>
      <c r="C32" s="23"/>
      <c r="D32" s="23"/>
      <c r="E32" s="30" t="n">
        <f aca="false">IFERROR(INT(SMALL(Schedule!$N$6:$N$60,3)),"")</f>
        <v>46364</v>
      </c>
      <c r="H32" s="23" t="str">
        <f aca="false">IFERROR(INDEX(RAID_Log!$A$6:$A$60,MATCH(LARGE(RAID_Log!$N$6:$N$60,3),RAID_Log!$N$6:$N$60,0)),"—")</f>
        <v>I-02</v>
      </c>
      <c r="I32" s="7" t="str">
        <f aca="false">IFERROR(INDEX(RAID_Log!$C$6:$C$60,MATCH(LARGE(RAID_Log!$N$6:$N$60,3),RAID_Log!$N$6:$N$60,0)),"")</f>
        <v>Moving company quote expired; re-bid required</v>
      </c>
      <c r="J32" s="7"/>
      <c r="K32" s="7"/>
      <c r="L32" s="25" t="n">
        <f aca="false">IFERROR(INT(LARGE(RAID_Log!$N$6:$N$60,3)),"")</f>
        <v>12</v>
      </c>
    </row>
    <row r="33" customFormat="false" ht="27.75" hidden="false" customHeight="true" outlineLevel="0" collapsed="false">
      <c r="B33" s="23" t="str">
        <f aca="false">IFERROR(INDEX(Schedule!$C$6:$C$60,MATCH(SMALL(Schedule!$N$6:$N$60,4),Schedule!$N$6:$N$60,0)),"—")</f>
        <v>Move weekend</v>
      </c>
      <c r="C33" s="23"/>
      <c r="D33" s="23"/>
      <c r="E33" s="30" t="n">
        <f aca="false">IFERROR(INT(SMALL(Schedule!$N$6:$N$60,4)),"")</f>
        <v>46370</v>
      </c>
      <c r="H33" s="23" t="str">
        <f aca="false">IFERROR(INDEX(RAID_Log!$A$6:$A$60,MATCH(LARGE(RAID_Log!$N$6:$N$60,4),RAID_Log!$N$6:$N$60,0)),"—")</f>
        <v>R-02</v>
      </c>
      <c r="I33" s="7" t="str">
        <f aca="false">IFERROR(INDEX(RAID_Log!$C$6:$C$60,MATCH(LARGE(RAID_Log!$N$6:$N$60,4),RAID_Log!$N$6:$N$60,0)),"")</f>
        <v>Furniture lead times of 8–10 weeks</v>
      </c>
      <c r="J33" s="7"/>
      <c r="K33" s="7"/>
      <c r="L33" s="25" t="n">
        <f aca="false">IFERROR(INT(LARGE(RAID_Log!$N$6:$N$60,4)),"")</f>
        <v>12</v>
      </c>
    </row>
    <row r="34" customFormat="false" ht="27.75" hidden="false" customHeight="true" outlineLevel="0" collapsed="false">
      <c r="B34" s="23" t="str">
        <f aca="false">IFERROR(INDEX(Schedule!$C$6:$C$60,MATCH(SMALL(Schedule!$N$6:$N$60,5),Schedule!$N$6:$N$60,0)),"—")</f>
        <v>—</v>
      </c>
      <c r="C34" s="23"/>
      <c r="D34" s="23"/>
      <c r="E34" s="30" t="str">
        <f aca="false">IFERROR(INT(SMALL(Schedule!$N$6:$N$60,5)),"")</f>
        <v/>
      </c>
      <c r="H34" s="23" t="str">
        <f aca="false">IFERROR(INDEX(RAID_Log!$A$6:$A$60,MATCH(LARGE(RAID_Log!$N$6:$N$60,5),RAID_Log!$N$6:$N$60,0)),"—")</f>
        <v>R-04</v>
      </c>
      <c r="I34" s="7" t="str">
        <f aca="false">IFERROR(INDEX(RAID_Log!$C$6:$C$60,MATCH(LARGE(RAID_Log!$N$6:$N$60,5),RAID_Log!$N$6:$N$60,0)),"")</f>
        <v>Inspection scheduling delays with the county</v>
      </c>
      <c r="J34" s="7"/>
      <c r="K34" s="7"/>
      <c r="L34" s="25" t="n">
        <f aca="false">IFERROR(INT(LARGE(RAID_Log!$N$6:$N$60,5)),"")</f>
        <v>8</v>
      </c>
    </row>
    <row r="37" customFormat="false" ht="15" hidden="false" customHeight="false" outlineLevel="0" collapsed="false">
      <c r="B37" s="27" t="s">
        <v>98</v>
      </c>
      <c r="C37" s="20"/>
      <c r="D37" s="20"/>
    </row>
    <row r="38" customFormat="false" ht="30" hidden="false" customHeight="true" outlineLevel="0" collapsed="false">
      <c r="B38" s="28" t="s">
        <v>84</v>
      </c>
      <c r="C38" s="28" t="s">
        <v>78</v>
      </c>
    </row>
    <row r="39" customFormat="false" ht="15" hidden="false" customHeight="false" outlineLevel="0" collapsed="false">
      <c r="B39" s="23" t="s">
        <v>99</v>
      </c>
      <c r="C39" s="25" t="n">
        <f aca="false">COUNTIF(Schedule!$K$6:$K$60,B39)</f>
        <v>8</v>
      </c>
    </row>
    <row r="40" customFormat="false" ht="15" hidden="false" customHeight="false" outlineLevel="0" collapsed="false">
      <c r="B40" s="23" t="s">
        <v>100</v>
      </c>
      <c r="C40" s="25" t="n">
        <f aca="false">COUNTIF(Schedule!$K$6:$K$60,B40)</f>
        <v>2</v>
      </c>
    </row>
    <row r="41" customFormat="false" ht="15" hidden="false" customHeight="false" outlineLevel="0" collapsed="false">
      <c r="B41" s="23" t="s">
        <v>83</v>
      </c>
      <c r="C41" s="25" t="n">
        <f aca="false">COUNTIF(Schedule!$K$6:$K$60,B41)</f>
        <v>2</v>
      </c>
    </row>
    <row r="42" customFormat="false" ht="15" hidden="false" customHeight="false" outlineLevel="0" collapsed="false">
      <c r="B42" s="23" t="s">
        <v>82</v>
      </c>
      <c r="C42" s="25" t="n">
        <f aca="false">COUNTIF(Schedule!$K$6:$K$60,B42)</f>
        <v>2</v>
      </c>
    </row>
    <row r="43" customFormat="false" ht="15" hidden="false" customHeight="false" outlineLevel="0" collapsed="false">
      <c r="B43" s="23" t="s">
        <v>101</v>
      </c>
      <c r="C43" s="25" t="n">
        <f aca="false">COUNTIF(Schedule!$K$6:$K$60,B43)</f>
        <v>17</v>
      </c>
    </row>
  </sheetData>
  <mergeCells count="45">
    <mergeCell ref="E6:F6"/>
    <mergeCell ref="G6:H6"/>
    <mergeCell ref="I6:J6"/>
    <mergeCell ref="K6:L6"/>
    <mergeCell ref="B7:C8"/>
    <mergeCell ref="E7:F7"/>
    <mergeCell ref="G7:H7"/>
    <mergeCell ref="I7:J7"/>
    <mergeCell ref="K7:L7"/>
    <mergeCell ref="B9:C10"/>
    <mergeCell ref="E10:F10"/>
    <mergeCell ref="G10:H10"/>
    <mergeCell ref="I10:J10"/>
    <mergeCell ref="K10:L10"/>
    <mergeCell ref="E11:F11"/>
    <mergeCell ref="G11:H11"/>
    <mergeCell ref="I11:J11"/>
    <mergeCell ref="K11:L11"/>
    <mergeCell ref="E14:F14"/>
    <mergeCell ref="G14:H14"/>
    <mergeCell ref="I14:J14"/>
    <mergeCell ref="K14:L14"/>
    <mergeCell ref="E15:F15"/>
    <mergeCell ref="G15:H15"/>
    <mergeCell ref="I15:J15"/>
    <mergeCell ref="K15:L15"/>
    <mergeCell ref="B19:C19"/>
    <mergeCell ref="B20:C20"/>
    <mergeCell ref="B21:C21"/>
    <mergeCell ref="B22:C22"/>
    <mergeCell ref="B23:C23"/>
    <mergeCell ref="B24:C24"/>
    <mergeCell ref="B25:C25"/>
    <mergeCell ref="B29:D29"/>
    <mergeCell ref="I29:K29"/>
    <mergeCell ref="B30:D30"/>
    <mergeCell ref="I30:K30"/>
    <mergeCell ref="B31:D31"/>
    <mergeCell ref="I31:K31"/>
    <mergeCell ref="B32:D32"/>
    <mergeCell ref="I32:K32"/>
    <mergeCell ref="B33:D33"/>
    <mergeCell ref="I33:K33"/>
    <mergeCell ref="B34:D34"/>
    <mergeCell ref="I34:K34"/>
  </mergeCells>
  <conditionalFormatting sqref="B7">
    <cfRule type="cellIs" priority="2" operator="equal" aboveAverage="0" equalAverage="0" bottom="0" percent="0" rank="0" text="" dxfId="0">
      <formula>"Green"</formula>
    </cfRule>
    <cfRule type="cellIs" priority="3" operator="equal" aboveAverage="0" equalAverage="0" bottom="0" percent="0" rank="0" text="" dxfId="1">
      <formula>"Amber"</formula>
    </cfRule>
    <cfRule type="cellIs" priority="4" operator="equal" aboveAverage="0" equalAverage="0" bottom="0" percent="0" rank="0" text="" dxfId="2">
      <formula>"Red"</formula>
    </cfRule>
  </conditionalFormatting>
  <conditionalFormatting sqref="J20:J25">
    <cfRule type="cellIs" priority="5" operator="equal" aboveAverage="0" equalAverage="0" bottom="0" percent="0" rank="0" text="" dxfId="3">
      <formula>"Complete"</formula>
    </cfRule>
    <cfRule type="cellIs" priority="6" operator="equal" aboveAverage="0" equalAverage="0" bottom="0" percent="0" rank="0" text="" dxfId="3">
      <formula>"Done"</formula>
    </cfRule>
    <cfRule type="cellIs" priority="7" operator="equal" aboveAverage="0" equalAverage="0" bottom="0" percent="0" rank="0" text="" dxfId="3">
      <formula>"Closed"</formula>
    </cfRule>
    <cfRule type="cellIs" priority="8" operator="equal" aboveAverage="0" equalAverage="0" bottom="0" percent="0" rank="0" text="" dxfId="3">
      <formula>"Answered"</formula>
    </cfRule>
    <cfRule type="cellIs" priority="9" operator="equal" aboveAverage="0" equalAverage="0" bottom="0" percent="0" rank="0" text="" dxfId="4">
      <formula>"Approved"</formula>
    </cfRule>
    <cfRule type="cellIs" priority="10" operator="equal" aboveAverage="0" equalAverage="0" bottom="0" percent="0" rank="0" text="" dxfId="4">
      <formula>"On Track"</formula>
    </cfRule>
    <cfRule type="cellIs" priority="11" operator="equal" aboveAverage="0" equalAverage="0" bottom="0" percent="0" rank="0" text="" dxfId="4">
      <formula>"Green"</formula>
    </cfRule>
    <cfRule type="cellIs" priority="12" operator="equal" aboveAverage="0" equalAverage="0" bottom="0" percent="0" rank="0" text="" dxfId="4">
      <formula>"GO"</formula>
    </cfRule>
    <cfRule type="cellIs" priority="13" operator="equal" aboveAverage="0" equalAverage="0" bottom="0" percent="0" rank="0" text="" dxfId="4">
      <formula>"Low"</formula>
    </cfRule>
    <cfRule type="cellIs" priority="14" operator="equal" aboveAverage="0" equalAverage="0" bottom="0" percent="0" rank="0" text="" dxfId="5">
      <formula>"At Risk"</formula>
    </cfRule>
    <cfRule type="cellIs" priority="15" operator="equal" aboveAverage="0" equalAverage="0" bottom="0" percent="0" rank="0" text="" dxfId="5">
      <formula>"Amber"</formula>
    </cfRule>
    <cfRule type="cellIs" priority="16" operator="equal" aboveAverage="0" equalAverage="0" bottom="0" percent="0" rank="0" text="" dxfId="5">
      <formula>"Medium"</formula>
    </cfRule>
    <cfRule type="cellIs" priority="17" operator="equal" aboveAverage="0" equalAverage="0" bottom="0" percent="0" rank="0" text="" dxfId="5">
      <formula>"Pending"</formula>
    </cfRule>
    <cfRule type="cellIs" priority="18" operator="equal" aboveAverage="0" equalAverage="0" bottom="0" percent="0" rank="0" text="" dxfId="5">
      <formula>"Open"</formula>
    </cfRule>
    <cfRule type="cellIs" priority="19" operator="equal" aboveAverage="0" equalAverage="0" bottom="0" percent="0" rank="0" text="" dxfId="6">
      <formula>"Late"</formula>
    </cfRule>
    <cfRule type="cellIs" priority="20" operator="equal" aboveAverage="0" equalAverage="0" bottom="0" percent="0" rank="0" text="" dxfId="6">
      <formula>"Red"</formula>
    </cfRule>
    <cfRule type="cellIs" priority="21" operator="equal" aboveAverage="0" equalAverage="0" bottom="0" percent="0" rank="0" text="" dxfId="6">
      <formula>"High"</formula>
    </cfRule>
    <cfRule type="cellIs" priority="22" operator="equal" aboveAverage="0" equalAverage="0" bottom="0" percent="0" rank="0" text="" dxfId="6">
      <formula>"Overdue"</formula>
    </cfRule>
    <cfRule type="cellIs" priority="23" operator="equal" aboveAverage="0" equalAverage="0" bottom="0" percent="0" rank="0" text="" dxfId="6">
      <formula>"OVERDUE"</formula>
    </cfRule>
    <cfRule type="cellIs" priority="24" operator="equal" aboveAverage="0" equalAverage="0" bottom="0" percent="0" rank="0" text="" dxfId="6">
      <formula>"NO-GO"</formula>
    </cfRule>
    <cfRule type="cellIs" priority="25" operator="equal" aboveAverage="0" equalAverage="0" bottom="0" percent="0" rank="0" text="" dxfId="6">
      <formula>"Blocked"</formula>
    </cfRule>
  </conditionalFormatting>
  <conditionalFormatting sqref="B39:B43">
    <cfRule type="cellIs" priority="26" operator="equal" aboveAverage="0" equalAverage="0" bottom="0" percent="0" rank="0" text="" dxfId="3">
      <formula>"Complete"</formula>
    </cfRule>
    <cfRule type="cellIs" priority="27" operator="equal" aboveAverage="0" equalAverage="0" bottom="0" percent="0" rank="0" text="" dxfId="3">
      <formula>"Done"</formula>
    </cfRule>
    <cfRule type="cellIs" priority="28" operator="equal" aboveAverage="0" equalAverage="0" bottom="0" percent="0" rank="0" text="" dxfId="3">
      <formula>"Closed"</formula>
    </cfRule>
    <cfRule type="cellIs" priority="29" operator="equal" aboveAverage="0" equalAverage="0" bottom="0" percent="0" rank="0" text="" dxfId="3">
      <formula>"Answered"</formula>
    </cfRule>
    <cfRule type="cellIs" priority="30" operator="equal" aboveAverage="0" equalAverage="0" bottom="0" percent="0" rank="0" text="" dxfId="4">
      <formula>"Approved"</formula>
    </cfRule>
    <cfRule type="cellIs" priority="31" operator="equal" aboveAverage="0" equalAverage="0" bottom="0" percent="0" rank="0" text="" dxfId="4">
      <formula>"On Track"</formula>
    </cfRule>
    <cfRule type="cellIs" priority="32" operator="equal" aboveAverage="0" equalAverage="0" bottom="0" percent="0" rank="0" text="" dxfId="4">
      <formula>"Green"</formula>
    </cfRule>
    <cfRule type="cellIs" priority="33" operator="equal" aboveAverage="0" equalAverage="0" bottom="0" percent="0" rank="0" text="" dxfId="4">
      <formula>"GO"</formula>
    </cfRule>
    <cfRule type="cellIs" priority="34" operator="equal" aboveAverage="0" equalAverage="0" bottom="0" percent="0" rank="0" text="" dxfId="4">
      <formula>"Low"</formula>
    </cfRule>
    <cfRule type="cellIs" priority="35" operator="equal" aboveAverage="0" equalAverage="0" bottom="0" percent="0" rank="0" text="" dxfId="5">
      <formula>"At Risk"</formula>
    </cfRule>
    <cfRule type="cellIs" priority="36" operator="equal" aboveAverage="0" equalAverage="0" bottom="0" percent="0" rank="0" text="" dxfId="5">
      <formula>"Amber"</formula>
    </cfRule>
    <cfRule type="cellIs" priority="37" operator="equal" aboveAverage="0" equalAverage="0" bottom="0" percent="0" rank="0" text="" dxfId="5">
      <formula>"Medium"</formula>
    </cfRule>
    <cfRule type="cellIs" priority="38" operator="equal" aboveAverage="0" equalAverage="0" bottom="0" percent="0" rank="0" text="" dxfId="5">
      <formula>"Pending"</formula>
    </cfRule>
    <cfRule type="cellIs" priority="39" operator="equal" aboveAverage="0" equalAverage="0" bottom="0" percent="0" rank="0" text="" dxfId="5">
      <formula>"Open"</formula>
    </cfRule>
    <cfRule type="cellIs" priority="40" operator="equal" aboveAverage="0" equalAverage="0" bottom="0" percent="0" rank="0" text="" dxfId="6">
      <formula>"Late"</formula>
    </cfRule>
    <cfRule type="cellIs" priority="41" operator="equal" aboveAverage="0" equalAverage="0" bottom="0" percent="0" rank="0" text="" dxfId="6">
      <formula>"Red"</formula>
    </cfRule>
    <cfRule type="cellIs" priority="42" operator="equal" aboveAverage="0" equalAverage="0" bottom="0" percent="0" rank="0" text="" dxfId="6">
      <formula>"High"</formula>
    </cfRule>
    <cfRule type="cellIs" priority="43" operator="equal" aboveAverage="0" equalAverage="0" bottom="0" percent="0" rank="0" text="" dxfId="6">
      <formula>"Overdue"</formula>
    </cfRule>
    <cfRule type="cellIs" priority="44" operator="equal" aboveAverage="0" equalAverage="0" bottom="0" percent="0" rank="0" text="" dxfId="6">
      <formula>"OVERDUE"</formula>
    </cfRule>
    <cfRule type="cellIs" priority="45" operator="equal" aboveAverage="0" equalAverage="0" bottom="0" percent="0" rank="0" text="" dxfId="6">
      <formula>"NO-GO"</formula>
    </cfRule>
    <cfRule type="cellIs" priority="46" operator="equal" aboveAverage="0" equalAverage="0" bottom="0" percent="0" rank="0" text="" dxfId="6">
      <formula>"Blocked"</formula>
    </cfRule>
  </conditionalFormatting>
  <printOptions headings="false" gridLines="false" gridLinesSet="true" horizontalCentered="true" verticalCentered="false"/>
  <pageMargins left="0.4" right="0.4" top="0.5" bottom="0.5"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F3A5F"/>
    <pageSetUpPr fitToPage="true"/>
  </sheetPr>
  <dimension ref="B2:D3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24"/>
    <col collapsed="false" customWidth="true" hidden="false" outlineLevel="0" max="3" min="3" style="0" width="70"/>
    <col collapsed="false" customWidth="true" hidden="false" outlineLevel="0" max="4" min="4" style="0" width="14"/>
  </cols>
  <sheetData>
    <row r="2" customFormat="false" ht="19.7" hidden="false" customHeight="false" outlineLevel="0" collapsed="false">
      <c r="B2" s="9" t="s">
        <v>102</v>
      </c>
    </row>
    <row r="3" customFormat="false" ht="15" hidden="false" customHeight="false" outlineLevel="0" collapsed="false">
      <c r="B3" s="31" t="str">
        <f aca="false">"Status date: "&amp;TEXT(AsOf,"mmmm d, yyyy")&amp;"   |   Prepared by: Project Coordinator"</f>
        <v>Status date: October 16, 2026   |   Prepared by: Project Coordinator</v>
      </c>
    </row>
    <row r="5" customFormat="false" ht="17.35" hidden="false" customHeight="false" outlineLevel="0" collapsed="false">
      <c r="B5" s="32" t="s">
        <v>103</v>
      </c>
      <c r="C5" s="33" t="str">
        <f aca="false">Dashboard!B7</f>
        <v>Amber</v>
      </c>
      <c r="D5" s="12"/>
    </row>
    <row r="6" customFormat="false" ht="48" hidden="false" customHeight="true" outlineLevel="0" collapsed="false">
      <c r="B6" s="32" t="s">
        <v>104</v>
      </c>
      <c r="C6" s="34" t="str">
        <f aca="false">"The project is "&amp;TEXT(Dashboard!E7,"0%")&amp;" complete against a plan of "&amp;TEXT(Dashboard!G7,"0%")&amp;". "&amp;Dashboard!I7&amp;IF(Dashboard!I7=1," task is late and "," tasks are late and ")&amp;COUNTIF(Schedule!$K$6:$K$60,"At Risk")&amp;IF(COUNTIF(Schedule!$K$6:$K$60,"At Risk")=1," is at risk."," are at risk.")&amp;" Forecast cost is "&amp;TEXT(Budget!$H$14,"$#,##0")&amp;" against a revised budget of "&amp;TEXT(Budget!$D$14,"$#,##0")&amp;" ("&amp;IF(Budget!$I$14&gt;=0,TEXT(Budget!$I$14,"$#,##0")&amp;" under",TEXT(-Budget!$I$14,"$#,##0")&amp;" over")&amp;"). "&amp;"Move-in day is "&amp;Dashboard!K15&amp;" days away."</f>
        <v>The project is 44% complete against a plan of 49%. 2 tasks are late and 2 are at risk. Forecast cost is $502,400 against a revised budget of $515,000 ($12,600 under). Move-in day is 59 days away.</v>
      </c>
      <c r="D6" s="12"/>
    </row>
    <row r="7" customFormat="false" ht="15" hidden="false" customHeight="false" outlineLevel="0" collapsed="false">
      <c r="B7" s="32"/>
      <c r="C7" s="12"/>
      <c r="D7" s="12"/>
    </row>
    <row r="8" customFormat="false" ht="15" hidden="false" customHeight="false" outlineLevel="0" collapsed="false">
      <c r="B8" s="27" t="s">
        <v>105</v>
      </c>
      <c r="C8" s="20"/>
      <c r="D8" s="20"/>
    </row>
    <row r="9" customFormat="false" ht="15.75" hidden="false" customHeight="true" outlineLevel="0" collapsed="false">
      <c r="B9" s="32"/>
      <c r="C9" s="34" t="str">
        <f aca="false">IFERROR("✓ "&amp;INDEX(Schedule!$C$6:$C$60,MATCH(SMALL(Schedule!$O$6:$O$60,1),Schedule!$O$6:$O$60,0)),IF(1=1,"Nothing finished this week",""))</f>
        <v>✓ Building permit submitted &amp; approved</v>
      </c>
      <c r="D9" s="35" t="n">
        <f aca="false">IFERROR(INT(SMALL(Schedule!$O$6:$O$60,1)),"")</f>
        <v>46308</v>
      </c>
    </row>
    <row r="10" customFormat="false" ht="15.75" hidden="false" customHeight="true" outlineLevel="0" collapsed="false">
      <c r="B10" s="32"/>
      <c r="C10" s="34" t="str">
        <f aca="false">IFERROR("✓ "&amp;INDEX(Schedule!$C$6:$C$60,MATCH(SMALL(Schedule!$O$6:$O$60,2),Schedule!$O$6:$O$60,0)),IF(2=1,"Nothing finished this week",""))</f>
        <v>✓ Demolition</v>
      </c>
      <c r="D10" s="35" t="n">
        <f aca="false">IFERROR(INT(SMALL(Schedule!$O$6:$O$60,2)),"")</f>
        <v>46311</v>
      </c>
    </row>
    <row r="11" customFormat="false" ht="15.75" hidden="false" customHeight="true" outlineLevel="0" collapsed="false">
      <c r="B11" s="32"/>
      <c r="C11" s="34" t="str">
        <f aca="false">IFERROR("✓ "&amp;INDEX(Schedule!$C$6:$C$60,MATCH(SMALL(Schedule!$O$6:$O$60,3),Schedule!$O$6:$O$60,0)),IF(3=1,"Nothing finished this week",""))</f>
        <v/>
      </c>
      <c r="D11" s="35" t="str">
        <f aca="false">IFERROR(INT(SMALL(Schedule!$O$6:$O$60,3)),"")</f>
        <v/>
      </c>
    </row>
    <row r="12" customFormat="false" ht="15" hidden="false" customHeight="false" outlineLevel="0" collapsed="false">
      <c r="B12" s="32"/>
      <c r="C12" s="12"/>
      <c r="D12" s="12"/>
    </row>
    <row r="13" customFormat="false" ht="15" hidden="false" customHeight="false" outlineLevel="0" collapsed="false">
      <c r="B13" s="27" t="s">
        <v>106</v>
      </c>
      <c r="C13" s="20"/>
      <c r="D13" s="20"/>
    </row>
    <row r="14" customFormat="false" ht="15.75" hidden="false" customHeight="true" outlineLevel="0" collapsed="false">
      <c r="B14" s="32"/>
      <c r="C14" s="34" t="str">
        <f aca="false">IFERROR(INDEX(Schedule!$C:$C,SMALL(Schedule!$P$6:$P$60,1))&amp;" — "&amp;INDEX(Schedule!$K:$K,SMALL(Schedule!$P$6:$P$60,1))&amp;" ("&amp;INDEX(Schedule!$D:$D,SMALL(Schedule!$P$6:$P$60,1))&amp;")",IF(1=1,"Nothing late or at risk",""))</f>
        <v>ISP circuit ordered &amp; install date confirmed — Late (IT Lead)</v>
      </c>
      <c r="D14" s="12"/>
    </row>
    <row r="15" customFormat="false" ht="15.75" hidden="false" customHeight="true" outlineLevel="0" collapsed="false">
      <c r="B15" s="32"/>
      <c r="C15" s="34" t="str">
        <f aca="false">IFERROR(INDEX(Schedule!$C:$C,SMALL(Schedule!$P$6:$P$60,2))&amp;" — "&amp;INDEX(Schedule!$K:$K,SMALL(Schedule!$P$6:$P$60,2))&amp;" ("&amp;INDEX(Schedule!$D:$D,SMALL(Schedule!$P$6:$P$60,2))&amp;")",IF(2=1,"Nothing late or at risk",""))</f>
        <v>Network &amp; AV design — At Risk (IT Lead)</v>
      </c>
      <c r="D15" s="12"/>
    </row>
    <row r="16" customFormat="false" ht="15.75" hidden="false" customHeight="true" outlineLevel="0" collapsed="false">
      <c r="B16" s="32"/>
      <c r="C16" s="34" t="str">
        <f aca="false">IFERROR(INDEX(Schedule!$C:$C,SMALL(Schedule!$P$6:$P$60,3))&amp;" — "&amp;INDEX(Schedule!$K:$K,SMALL(Schedule!$P$6:$P$60,3))&amp;" ("&amp;INDEX(Schedule!$D:$D,SMALL(Schedule!$P$6:$P$60,3))&amp;")",IF(3=1,"Nothing late or at risk",""))</f>
        <v>Furniture vendor selected &amp; PO issued — Late (Project Coordinator)</v>
      </c>
      <c r="D16" s="12"/>
    </row>
    <row r="17" customFormat="false" ht="15.75" hidden="false" customHeight="true" outlineLevel="0" collapsed="false">
      <c r="B17" s="32"/>
      <c r="C17" s="34" t="str">
        <f aca="false">IFERROR(INDEX(Schedule!$C:$C,SMALL(Schedule!$P$6:$P$60,4))&amp;" — "&amp;INDEX(Schedule!$K:$K,SMALL(Schedule!$P$6:$P$60,4))&amp;" ("&amp;INDEX(Schedule!$D:$D,SMALL(Schedule!$P$6:$P$60,4))&amp;")",IF(4=1,"Nothing late or at risk",""))</f>
        <v>Moving company contracted — At Risk (Project Coordinator)</v>
      </c>
      <c r="D17" s="12"/>
    </row>
    <row r="18" customFormat="false" ht="15" hidden="false" customHeight="false" outlineLevel="0" collapsed="false">
      <c r="B18" s="32"/>
      <c r="C18" s="12"/>
      <c r="D18" s="12"/>
    </row>
    <row r="19" customFormat="false" ht="15" hidden="false" customHeight="false" outlineLevel="0" collapsed="false">
      <c r="B19" s="27" t="s">
        <v>107</v>
      </c>
      <c r="C19" s="20"/>
      <c r="D19" s="20"/>
    </row>
    <row r="20" customFormat="false" ht="15.75" hidden="false" customHeight="true" outlineLevel="0" collapsed="false">
      <c r="B20" s="32"/>
      <c r="C20" s="34" t="str">
        <f aca="false">Dashboard!B30</f>
        <v>Rough-in inspections passed</v>
      </c>
      <c r="D20" s="35" t="n">
        <f aca="false">Dashboard!E30</f>
        <v>46332</v>
      </c>
    </row>
    <row r="21" customFormat="false" ht="15.75" hidden="false" customHeight="true" outlineLevel="0" collapsed="false">
      <c r="B21" s="32"/>
      <c r="C21" s="34" t="str">
        <f aca="false">Dashboard!B31</f>
        <v>Network &amp; AV testing sign-off</v>
      </c>
      <c r="D21" s="35" t="n">
        <f aca="false">Dashboard!E31</f>
        <v>46359</v>
      </c>
    </row>
    <row r="22" customFormat="false" ht="15.75" hidden="false" customHeight="true" outlineLevel="0" collapsed="false">
      <c r="B22" s="32"/>
      <c r="C22" s="34" t="str">
        <f aca="false">Dashboard!B32</f>
        <v>Final inspection &amp; certificate of occupancy</v>
      </c>
      <c r="D22" s="35" t="n">
        <f aca="false">Dashboard!E32</f>
        <v>46364</v>
      </c>
    </row>
    <row r="23" customFormat="false" ht="15" hidden="false" customHeight="false" outlineLevel="0" collapsed="false">
      <c r="B23" s="32"/>
      <c r="C23" s="12"/>
      <c r="D23" s="12"/>
    </row>
    <row r="24" customFormat="false" ht="15" hidden="false" customHeight="false" outlineLevel="0" collapsed="false">
      <c r="B24" s="27" t="s">
        <v>108</v>
      </c>
      <c r="C24" s="20"/>
      <c r="D24" s="20"/>
    </row>
    <row r="25" customFormat="false" ht="15.75" hidden="false" customHeight="true" outlineLevel="0" collapsed="false">
      <c r="B25" s="32"/>
      <c r="C25" s="34" t="str">
        <f aca="false">IF(Dashboard!H30="—","",Dashboard!H30&amp;": "&amp;Dashboard!I30&amp;"  (score "&amp;Dashboard!L30&amp;")")</f>
        <v>R-01: ISP circuit lead time (45–60 days) may miss the move date  (score 20)</v>
      </c>
      <c r="D25" s="12"/>
    </row>
    <row r="26" customFormat="false" ht="15.75" hidden="false" customHeight="true" outlineLevel="0" collapsed="false">
      <c r="B26" s="32"/>
      <c r="C26" s="34" t="str">
        <f aca="false">IF(Dashboard!H31="—","",Dashboard!H31&amp;": "&amp;Dashboard!I31&amp;"  (score "&amp;Dashboard!L31&amp;")")</f>
        <v>I-01: East-wing floor is out of level; needs leveling compound  (score 15)</v>
      </c>
      <c r="D26" s="12"/>
    </row>
    <row r="27" customFormat="false" ht="15.75" hidden="false" customHeight="true" outlineLevel="0" collapsed="false">
      <c r="B27" s="32"/>
      <c r="C27" s="34" t="str">
        <f aca="false">IF(Dashboard!H32="—","",Dashboard!H32&amp;": "&amp;Dashboard!I32&amp;"  (score "&amp;Dashboard!L32&amp;")")</f>
        <v>I-02: Moving company quote expired; re-bid required  (score 12)</v>
      </c>
      <c r="D27" s="12"/>
    </row>
    <row r="28" customFormat="false" ht="15" hidden="false" customHeight="false" outlineLevel="0" collapsed="false">
      <c r="B28" s="32"/>
      <c r="C28" s="12"/>
      <c r="D28" s="12"/>
    </row>
    <row r="29" customFormat="false" ht="15" hidden="false" customHeight="false" outlineLevel="0" collapsed="false">
      <c r="B29" s="27" t="s">
        <v>109</v>
      </c>
      <c r="C29" s="20"/>
      <c r="D29" s="20"/>
    </row>
    <row r="30" customFormat="false" ht="30" hidden="false" customHeight="true" outlineLevel="0" collapsed="false">
      <c r="B30" s="32"/>
      <c r="C30" s="34" t="str">
        <f aca="false">IFERROR(INDEX(RAID_Log!$A:$A,SMALL(RAID_Log!$O$6:$O$60,1))&amp;": "&amp;INDEX(RAID_Log!$C:$C,SMALL(RAID_Log!$O$6:$O$60,1))&amp;" — "&amp;INDEX(RAID_Log!$L:$L,SMALL(RAID_Log!$O$6:$O$60,1)),IF(1=1,"None this week",""))</f>
        <v>D-01: Approve CO-04 floor leveling ($4,750) from contingency? — Needed by Oct 20 to protect the drywall start</v>
      </c>
      <c r="D30" s="12"/>
    </row>
    <row r="31" customFormat="false" ht="30" hidden="false" customHeight="true" outlineLevel="0" collapsed="false">
      <c r="B31" s="32"/>
      <c r="C31" s="34" t="str">
        <f aca="false">IFERROR(INDEX(RAID_Log!$A:$A,SMALL(RAID_Log!$O$6:$O$60,2))&amp;": "&amp;INDEX(RAID_Log!$C:$C,SMALL(RAID_Log!$O$6:$O$60,2))&amp;" — "&amp;INDEX(RAID_Log!$L:$L,SMALL(RAID_Log!$O$6:$O$60,2)),IF(2=1,"None this week",""))</f>
        <v/>
      </c>
      <c r="D31" s="12"/>
    </row>
    <row r="32" customFormat="false" ht="15" hidden="false" customHeight="false" outlineLevel="0" collapsed="false">
      <c r="B32" s="32"/>
      <c r="C32" s="12"/>
      <c r="D32" s="12"/>
    </row>
    <row r="33" customFormat="false" ht="15" hidden="false" customHeight="false" outlineLevel="0" collapsed="false">
      <c r="B33" s="27" t="s">
        <v>110</v>
      </c>
      <c r="C33" s="20"/>
      <c r="D33" s="20"/>
    </row>
    <row r="34" customFormat="false" ht="15.75" hidden="false" customHeight="true" outlineLevel="0" collapsed="false">
      <c r="B34" s="32"/>
      <c r="C34" s="34" t="str">
        <f aca="false">IFERROR(INDEX(Action_Items!$A:$A,SMALL(Action_Items!$I$6:$I$60,1))&amp;": "&amp;INDEX(Action_Items!$D:$D,SMALL(Action_Items!$I$6:$I$60,1))&amp;" — "&amp;INDEX(Action_Items!$E:$E,SMALL(Action_Items!$I$6:$I$60,1)),IF(1=1,"None",""))</f>
        <v>A2: Get a written install date from the ISP carrier — IT Lead</v>
      </c>
      <c r="D34" s="35" t="n">
        <f aca="false">IFERROR(INDEX(Action_Items!$F:$F,SMALL(Action_Items!$I$6:$I$60,1)),"")</f>
        <v>46309</v>
      </c>
    </row>
    <row r="35" customFormat="false" ht="15.75" hidden="false" customHeight="true" outlineLevel="0" collapsed="false">
      <c r="B35" s="32"/>
      <c r="C35" s="34" t="str">
        <f aca="false">IFERROR(INDEX(Action_Items!$A:$A,SMALL(Action_Items!$I$6:$I$60,2))&amp;": "&amp;INDEX(Action_Items!$D:$D,SMALL(Action_Items!$I$6:$I$60,2))&amp;" — "&amp;INDEX(Action_Items!$E:$E,SMALL(Action_Items!$I$6:$I$60,2)),IF(2=1,"None",""))</f>
        <v>A6: Follow up with architect on RFI-003 — Project Coordinator</v>
      </c>
      <c r="D35" s="35" t="n">
        <f aca="false">IFERROR(INDEX(Action_Items!$F:$F,SMALL(Action_Items!$I$6:$I$60,2)),"")</f>
        <v>46310</v>
      </c>
    </row>
    <row r="36" customFormat="false" ht="15.75" hidden="false" customHeight="true" outlineLevel="0" collapsed="false">
      <c r="B36" s="32"/>
      <c r="C36" s="34" t="str">
        <f aca="false">IFERROR(INDEX(Action_Items!$A:$A,SMALL(Action_Items!$I$6:$I$60,3))&amp;": "&amp;INDEX(Action_Items!$D:$D,SMALL(Action_Items!$I$6:$I$60,3))&amp;" — "&amp;INDEX(Action_Items!$E:$E,SMALL(Action_Items!$I$6:$I$60,3)),IF(3=1,"None",""))</f>
        <v/>
      </c>
      <c r="D36" s="35" t="str">
        <f aca="false">IFERROR(INDEX(Action_Items!$F:$F,SMALL(Action_Items!$I$6:$I$60,3)),"")</f>
        <v/>
      </c>
    </row>
    <row r="37" customFormat="false" ht="15" hidden="false" customHeight="false" outlineLevel="0" collapsed="false">
      <c r="B37" s="32"/>
      <c r="C37" s="12"/>
      <c r="D37" s="12"/>
    </row>
  </sheetData>
  <conditionalFormatting sqref="C5">
    <cfRule type="cellIs" priority="2" operator="equal" aboveAverage="0" equalAverage="0" bottom="0" percent="0" rank="0" text="" dxfId="7">
      <formula>"Green"</formula>
    </cfRule>
    <cfRule type="cellIs" priority="3" operator="equal" aboveAverage="0" equalAverage="0" bottom="0" percent="0" rank="0" text="" dxfId="8">
      <formula>"Amber"</formula>
    </cfRule>
    <cfRule type="cellIs" priority="4" operator="equal" aboveAverage="0" equalAverage="0" bottom="0" percent="0" rank="0" text="" dxfId="9">
      <formula>"Red"</formula>
    </cfRule>
  </conditionalFormatting>
  <printOptions headings="false" gridLines="false" gridLinesSet="true" horizontalCentered="true" verticalCentered="false"/>
  <pageMargins left="0.4" right="0.4" top="0.5" bottom="0.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A7F8E"/>
    <pageSetUpPr fitToPage="true"/>
  </sheetPr>
  <dimension ref="A1:AJ6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3" ySplit="5" topLeftCell="D6" activePane="bottomRight" state="frozen"/>
      <selection pane="topLeft" activeCell="A1" activeCellId="0" sqref="A1"/>
      <selection pane="topRight" activeCell="D1" activeCellId="0" sqref="D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6"/>
    <col collapsed="false" customWidth="true" hidden="false" outlineLevel="0" max="2" min="2" style="0" width="18"/>
    <col collapsed="false" customWidth="true" hidden="false" outlineLevel="0" max="3" min="3" style="0" width="40"/>
    <col collapsed="false" customWidth="true" hidden="false" outlineLevel="0" max="4" min="4" style="0" width="18"/>
    <col collapsed="false" customWidth="true" hidden="false" outlineLevel="0" max="5" min="5" style="0" width="9"/>
    <col collapsed="false" customWidth="true" hidden="false" outlineLevel="0" max="6" min="6" style="0" width="10"/>
    <col collapsed="false" customWidth="true" hidden="false" outlineLevel="0" max="9" min="7" style="0" width="9"/>
    <col collapsed="false" customWidth="true" hidden="false" outlineLevel="0" max="11" min="10" style="0" width="11"/>
    <col collapsed="false" customWidth="true" hidden="false" outlineLevel="0" max="12" min="12" style="0" width="7"/>
    <col collapsed="false" customWidth="true" hidden="false" outlineLevel="0" max="13" min="13" style="0" width="34"/>
    <col collapsed="false" customWidth="true" hidden="true" outlineLevel="0" max="16" min="14" style="0" width="9"/>
    <col collapsed="false" customWidth="true" hidden="false" outlineLevel="0" max="33" min="17" style="0" width="3.2"/>
    <col collapsed="false" customWidth="true" hidden="true" outlineLevel="0" max="36" min="34" style="0" width="13"/>
  </cols>
  <sheetData>
    <row r="1" customFormat="false" ht="19.7" hidden="false" customHeight="false" outlineLevel="0" collapsed="false">
      <c r="A1" s="9" t="s">
        <v>111</v>
      </c>
    </row>
    <row r="2" customFormat="false" ht="15" hidden="false" customHeight="false" outlineLevel="0" collapsed="false">
      <c r="A2" s="2" t="s">
        <v>112</v>
      </c>
    </row>
    <row r="3" customFormat="false" ht="15" hidden="false" customHeight="false" outlineLevel="0" collapsed="false">
      <c r="A3" s="36"/>
      <c r="B3" s="37" t="s">
        <v>113</v>
      </c>
      <c r="M3" s="38" t="str">
        <f aca="false">"Status date: "&amp;TEXT(AsOf,"mmm d, yyyy")</f>
        <v>Status date: Oct 16, 2026</v>
      </c>
      <c r="O3" s="39" t="n">
        <f aca="false">AsOf</f>
        <v>46311</v>
      </c>
      <c r="Q3" s="40" t="s">
        <v>114</v>
      </c>
    </row>
    <row r="5" customFormat="false" ht="30" hidden="false" customHeight="true" outlineLevel="0" collapsed="false">
      <c r="A5" s="28" t="s">
        <v>95</v>
      </c>
      <c r="B5" s="28" t="s">
        <v>77</v>
      </c>
      <c r="C5" s="28" t="s">
        <v>115</v>
      </c>
      <c r="D5" s="28" t="s">
        <v>116</v>
      </c>
      <c r="E5" s="28" t="s">
        <v>80</v>
      </c>
      <c r="F5" s="28" t="s">
        <v>117</v>
      </c>
      <c r="G5" s="28" t="s">
        <v>81</v>
      </c>
      <c r="H5" s="28" t="s">
        <v>118</v>
      </c>
      <c r="I5" s="28" t="s">
        <v>79</v>
      </c>
      <c r="J5" s="28" t="s">
        <v>119</v>
      </c>
      <c r="K5" s="28" t="s">
        <v>84</v>
      </c>
      <c r="L5" s="28" t="s">
        <v>120</v>
      </c>
      <c r="M5" s="28" t="s">
        <v>121</v>
      </c>
      <c r="N5" s="28" t="s">
        <v>122</v>
      </c>
      <c r="O5" s="28" t="s">
        <v>123</v>
      </c>
      <c r="P5" s="28" t="s">
        <v>124</v>
      </c>
      <c r="Q5" s="41" t="n">
        <v>46265</v>
      </c>
      <c r="R5" s="41" t="n">
        <v>46272</v>
      </c>
      <c r="S5" s="41" t="n">
        <v>46279</v>
      </c>
      <c r="T5" s="41" t="n">
        <v>46286</v>
      </c>
      <c r="U5" s="41" t="n">
        <v>46293</v>
      </c>
      <c r="V5" s="41" t="n">
        <v>46300</v>
      </c>
      <c r="W5" s="41" t="n">
        <v>46307</v>
      </c>
      <c r="X5" s="41" t="n">
        <v>46314</v>
      </c>
      <c r="Y5" s="41" t="n">
        <v>46321</v>
      </c>
      <c r="Z5" s="41" t="n">
        <v>46328</v>
      </c>
      <c r="AA5" s="41" t="n">
        <v>46335</v>
      </c>
      <c r="AB5" s="41" t="n">
        <v>46342</v>
      </c>
      <c r="AC5" s="41" t="n">
        <v>46349</v>
      </c>
      <c r="AD5" s="41" t="n">
        <v>46356</v>
      </c>
      <c r="AE5" s="41" t="n">
        <v>46363</v>
      </c>
      <c r="AF5" s="41" t="n">
        <v>46370</v>
      </c>
      <c r="AG5" s="41" t="n">
        <v>46377</v>
      </c>
    </row>
    <row r="6" customFormat="false" ht="15" hidden="false" customHeight="false" outlineLevel="0" collapsed="false">
      <c r="A6" s="25" t="s">
        <v>125</v>
      </c>
      <c r="B6" s="42" t="s">
        <v>85</v>
      </c>
      <c r="C6" s="43" t="s">
        <v>126</v>
      </c>
      <c r="D6" s="42" t="s">
        <v>127</v>
      </c>
      <c r="E6" s="44" t="n">
        <v>46265</v>
      </c>
      <c r="F6" s="45" t="n">
        <v>1</v>
      </c>
      <c r="G6" s="30" t="n">
        <f aca="false">IF(E6="","",WORKDAY(E6,F6-1))</f>
        <v>46265</v>
      </c>
      <c r="H6" s="45" t="s">
        <v>128</v>
      </c>
      <c r="I6" s="46" t="n">
        <v>1</v>
      </c>
      <c r="J6" s="47" t="n">
        <f aca="false">IF(E6="","",IF(AsOf&lt;E6,0,MIN(1,NETWORKDAYS(E6,AsOf)/F6)))</f>
        <v>1</v>
      </c>
      <c r="K6" s="23" t="str">
        <f aca="false">IF(E6="","",IF(I6&gt;=1,"Complete",IF(AsOf&gt;G6,"Late",IF(AsOf&lt;E6,"Not Started",IF(J6-I6&gt;0.15,"At Risk","On Track")))))</f>
        <v>Complete</v>
      </c>
      <c r="L6" s="25" t="n">
        <f aca="false">IF(K6="Late",NETWORKDAYS(G6,AsOf)-1,0)</f>
        <v>0</v>
      </c>
      <c r="M6" s="43"/>
      <c r="N6" s="48" t="str">
        <f aca="false">IF(AND(H6="Y",I6&lt;1,G6&gt;=AsOf,G6&lt;=AsOf+60),G6+ROW()/10000,"")</f>
        <v/>
      </c>
      <c r="O6" s="48" t="str">
        <f aca="false">IF(AND(I6&gt;=1,G6&gt;AsOf-7,G6&lt;=AsOf),G6+ROW()/10000,"")</f>
        <v/>
      </c>
      <c r="P6" s="48" t="str">
        <f aca="false">IF(OR(K6="Late",K6="At Risk"),ROW(),"")</f>
        <v/>
      </c>
      <c r="Q6" s="49"/>
      <c r="R6" s="49"/>
      <c r="S6" s="49"/>
      <c r="T6" s="49"/>
      <c r="U6" s="49"/>
      <c r="V6" s="49"/>
      <c r="W6" s="49"/>
      <c r="X6" s="49"/>
      <c r="Y6" s="49"/>
      <c r="Z6" s="49"/>
      <c r="AA6" s="49"/>
      <c r="AB6" s="49"/>
      <c r="AC6" s="49"/>
      <c r="AD6" s="49"/>
      <c r="AE6" s="49"/>
      <c r="AF6" s="49"/>
      <c r="AG6" s="49"/>
      <c r="AI6" s="0" t="str">
        <f aca="false">IF(OR(B6="",E6=""),"",IF(COUNTIFS($B$6:$B$60,B6,$E$6:$E$60,"&lt;"&amp;E6)=0,B6,""))</f>
        <v>1 Initiation</v>
      </c>
      <c r="AJ6" s="0" t="str">
        <f aca="false">IF(OR(B6="",G6=""),"",IF(COUNTIFS($B$6:$B$60,B6,$G$6:$G$60,"&gt;"&amp;G6)=0,B6,""))</f>
        <v/>
      </c>
    </row>
    <row r="7" customFormat="false" ht="23.85" hidden="false" customHeight="false" outlineLevel="0" collapsed="false">
      <c r="A7" s="25" t="s">
        <v>129</v>
      </c>
      <c r="B7" s="42" t="s">
        <v>85</v>
      </c>
      <c r="C7" s="43" t="s">
        <v>130</v>
      </c>
      <c r="D7" s="42" t="s">
        <v>131</v>
      </c>
      <c r="E7" s="44" t="n">
        <v>46266</v>
      </c>
      <c r="F7" s="45" t="n">
        <v>3</v>
      </c>
      <c r="G7" s="30" t="n">
        <f aca="false">IF(E7="","",WORKDAY(E7,F7-1))</f>
        <v>46268</v>
      </c>
      <c r="H7" s="45" t="s">
        <v>132</v>
      </c>
      <c r="I7" s="46" t="n">
        <v>1</v>
      </c>
      <c r="J7" s="47" t="n">
        <f aca="false">IF(E7="","",IF(AsOf&lt;E7,0,MIN(1,NETWORKDAYS(E7,AsOf)/F7)))</f>
        <v>1</v>
      </c>
      <c r="K7" s="23" t="str">
        <f aca="false">IF(E7="","",IF(I7&gt;=1,"Complete",IF(AsOf&gt;G7,"Late",IF(AsOf&lt;E7,"Not Started",IF(J7-I7&gt;0.15,"At Risk","On Track")))))</f>
        <v>Complete</v>
      </c>
      <c r="L7" s="25" t="n">
        <f aca="false">IF(K7="Late",NETWORKDAYS(G7,AsOf)-1,0)</f>
        <v>0</v>
      </c>
      <c r="M7" s="43" t="s">
        <v>133</v>
      </c>
      <c r="N7" s="48" t="str">
        <f aca="false">IF(AND(H7="Y",I7&lt;1,G7&gt;=AsOf,G7&lt;=AsOf+60),G7+ROW()/10000,"")</f>
        <v/>
      </c>
      <c r="O7" s="48" t="str">
        <f aca="false">IF(AND(I7&gt;=1,G7&gt;AsOf-7,G7&lt;=AsOf),G7+ROW()/10000,"")</f>
        <v/>
      </c>
      <c r="P7" s="48" t="str">
        <f aca="false">IF(OR(K7="Late",K7="At Risk"),ROW(),"")</f>
        <v/>
      </c>
      <c r="Q7" s="49"/>
      <c r="R7" s="49"/>
      <c r="S7" s="49"/>
      <c r="T7" s="49"/>
      <c r="U7" s="49"/>
      <c r="V7" s="49"/>
      <c r="W7" s="49"/>
      <c r="X7" s="49"/>
      <c r="Y7" s="49"/>
      <c r="Z7" s="49"/>
      <c r="AA7" s="49"/>
      <c r="AB7" s="49"/>
      <c r="AC7" s="49"/>
      <c r="AD7" s="49"/>
      <c r="AE7" s="49"/>
      <c r="AF7" s="49"/>
      <c r="AG7" s="49"/>
      <c r="AI7" s="0" t="str">
        <f aca="false">IF(OR(B7="",E7=""),"",IF(COUNTIFS($B$6:$B$60,B7,$E$6:$E$60,"&lt;"&amp;E7)=0,B7,""))</f>
        <v/>
      </c>
      <c r="AJ7" s="0" t="str">
        <f aca="false">IF(OR(B7="",G7=""),"",IF(COUNTIFS($B$6:$B$60,B7,$G$6:$G$60,"&gt;"&amp;G7)=0,B7,""))</f>
        <v/>
      </c>
    </row>
    <row r="8" customFormat="false" ht="15" hidden="false" customHeight="false" outlineLevel="0" collapsed="false">
      <c r="A8" s="25" t="s">
        <v>134</v>
      </c>
      <c r="B8" s="42" t="s">
        <v>85</v>
      </c>
      <c r="C8" s="43" t="s">
        <v>135</v>
      </c>
      <c r="D8" s="42" t="s">
        <v>127</v>
      </c>
      <c r="E8" s="44" t="n">
        <v>46269</v>
      </c>
      <c r="F8" s="45" t="n">
        <v>2</v>
      </c>
      <c r="G8" s="30" t="n">
        <f aca="false">IF(E8="","",WORKDAY(E8,F8-1))</f>
        <v>46272</v>
      </c>
      <c r="H8" s="45" t="s">
        <v>128</v>
      </c>
      <c r="I8" s="46" t="n">
        <v>1</v>
      </c>
      <c r="J8" s="47" t="n">
        <f aca="false">IF(E8="","",IF(AsOf&lt;E8,0,MIN(1,NETWORKDAYS(E8,AsOf)/F8)))</f>
        <v>1</v>
      </c>
      <c r="K8" s="23" t="str">
        <f aca="false">IF(E8="","",IF(I8&gt;=1,"Complete",IF(AsOf&gt;G8,"Late",IF(AsOf&lt;E8,"Not Started",IF(J8-I8&gt;0.15,"At Risk","On Track")))))</f>
        <v>Complete</v>
      </c>
      <c r="L8" s="25" t="n">
        <f aca="false">IF(K8="Late",NETWORKDAYS(G8,AsOf)-1,0)</f>
        <v>0</v>
      </c>
      <c r="M8" s="43"/>
      <c r="N8" s="48" t="str">
        <f aca="false">IF(AND(H8="Y",I8&lt;1,G8&gt;=AsOf,G8&lt;=AsOf+60),G8+ROW()/10000,"")</f>
        <v/>
      </c>
      <c r="O8" s="48" t="str">
        <f aca="false">IF(AND(I8&gt;=1,G8&gt;AsOf-7,G8&lt;=AsOf),G8+ROW()/10000,"")</f>
        <v/>
      </c>
      <c r="P8" s="48" t="str">
        <f aca="false">IF(OR(K8="Late",K8="At Risk"),ROW(),"")</f>
        <v/>
      </c>
      <c r="Q8" s="49"/>
      <c r="R8" s="49"/>
      <c r="S8" s="49"/>
      <c r="T8" s="49"/>
      <c r="U8" s="49"/>
      <c r="V8" s="49"/>
      <c r="W8" s="49"/>
      <c r="X8" s="49"/>
      <c r="Y8" s="49"/>
      <c r="Z8" s="49"/>
      <c r="AA8" s="49"/>
      <c r="AB8" s="49"/>
      <c r="AC8" s="49"/>
      <c r="AD8" s="49"/>
      <c r="AE8" s="49"/>
      <c r="AF8" s="49"/>
      <c r="AG8" s="49"/>
      <c r="AI8" s="0" t="str">
        <f aca="false">IF(OR(B8="",E8=""),"",IF(COUNTIFS($B$6:$B$60,B8,$E$6:$E$60,"&lt;"&amp;E8)=0,B8,""))</f>
        <v/>
      </c>
      <c r="AJ8" s="0" t="str">
        <f aca="false">IF(OR(B8="",G8=""),"",IF(COUNTIFS($B$6:$B$60,B8,$G$6:$G$60,"&gt;"&amp;G8)=0,B8,""))</f>
        <v/>
      </c>
    </row>
    <row r="9" customFormat="false" ht="15" hidden="false" customHeight="false" outlineLevel="0" collapsed="false">
      <c r="A9" s="25" t="s">
        <v>136</v>
      </c>
      <c r="B9" s="42" t="s">
        <v>85</v>
      </c>
      <c r="C9" s="43" t="s">
        <v>137</v>
      </c>
      <c r="D9" s="42" t="s">
        <v>131</v>
      </c>
      <c r="E9" s="44" t="n">
        <v>46273</v>
      </c>
      <c r="F9" s="45" t="n">
        <v>70</v>
      </c>
      <c r="G9" s="30" t="n">
        <f aca="false">IF(E9="","",WORKDAY(E9,F9-1))</f>
        <v>46370</v>
      </c>
      <c r="H9" s="45" t="s">
        <v>132</v>
      </c>
      <c r="I9" s="46" t="n">
        <v>0.45</v>
      </c>
      <c r="J9" s="47" t="n">
        <f aca="false">IF(E9="","",IF(AsOf&lt;E9,0,MIN(1,NETWORKDAYS(E9,AsOf)/F9)))</f>
        <v>0.414285714285714</v>
      </c>
      <c r="K9" s="23" t="str">
        <f aca="false">IF(E9="","",IF(I9&gt;=1,"Complete",IF(AsOf&gt;G9,"Late",IF(AsOf&lt;E9,"Not Started",IF(J9-I9&gt;0.15,"At Risk","On Track")))))</f>
        <v>On Track</v>
      </c>
      <c r="L9" s="25" t="n">
        <f aca="false">IF(K9="Late",NETWORKDAYS(G9,AsOf)-1,0)</f>
        <v>0</v>
      </c>
      <c r="M9" s="43" t="s">
        <v>138</v>
      </c>
      <c r="N9" s="48" t="str">
        <f aca="false">IF(AND(H9="Y",I9&lt;1,G9&gt;=AsOf,G9&lt;=AsOf+60),G9+ROW()/10000,"")</f>
        <v/>
      </c>
      <c r="O9" s="48" t="str">
        <f aca="false">IF(AND(I9&gt;=1,G9&gt;AsOf-7,G9&lt;=AsOf),G9+ROW()/10000,"")</f>
        <v/>
      </c>
      <c r="P9" s="48" t="str">
        <f aca="false">IF(OR(K9="Late",K9="At Risk"),ROW(),"")</f>
        <v/>
      </c>
      <c r="Q9" s="49"/>
      <c r="R9" s="49"/>
      <c r="S9" s="49"/>
      <c r="T9" s="49"/>
      <c r="U9" s="49"/>
      <c r="V9" s="49"/>
      <c r="W9" s="49"/>
      <c r="X9" s="49"/>
      <c r="Y9" s="49"/>
      <c r="Z9" s="49"/>
      <c r="AA9" s="49"/>
      <c r="AB9" s="49"/>
      <c r="AC9" s="49"/>
      <c r="AD9" s="49"/>
      <c r="AE9" s="49"/>
      <c r="AF9" s="49"/>
      <c r="AG9" s="49"/>
      <c r="AI9" s="0" t="str">
        <f aca="false">IF(OR(B9="",E9=""),"",IF(COUNTIFS($B$6:$B$60,B9,$E$6:$E$60,"&lt;"&amp;E9)=0,B9,""))</f>
        <v/>
      </c>
      <c r="AJ9" s="0" t="str">
        <f aca="false">IF(OR(B9="",G9=""),"",IF(COUNTIFS($B$6:$B$60,B9,$G$6:$G$60,"&gt;"&amp;G9)=0,B9,""))</f>
        <v>1 Initiation</v>
      </c>
    </row>
    <row r="10" customFormat="false" ht="15" hidden="false" customHeight="false" outlineLevel="0" collapsed="false">
      <c r="A10" s="25" t="s">
        <v>139</v>
      </c>
      <c r="B10" s="42" t="s">
        <v>86</v>
      </c>
      <c r="C10" s="43" t="s">
        <v>140</v>
      </c>
      <c r="D10" s="42" t="s">
        <v>141</v>
      </c>
      <c r="E10" s="44" t="n">
        <v>46273</v>
      </c>
      <c r="F10" s="45" t="n">
        <v>8</v>
      </c>
      <c r="G10" s="30" t="n">
        <f aca="false">IF(E10="","",WORKDAY(E10,F10-1))</f>
        <v>46282</v>
      </c>
      <c r="H10" s="45" t="s">
        <v>132</v>
      </c>
      <c r="I10" s="46" t="n">
        <v>1</v>
      </c>
      <c r="J10" s="47" t="n">
        <f aca="false">IF(E10="","",IF(AsOf&lt;E10,0,MIN(1,NETWORKDAYS(E10,AsOf)/F10)))</f>
        <v>1</v>
      </c>
      <c r="K10" s="23" t="str">
        <f aca="false">IF(E10="","",IF(I10&gt;=1,"Complete",IF(AsOf&gt;G10,"Late",IF(AsOf&lt;E10,"Not Started",IF(J10-I10&gt;0.15,"At Risk","On Track")))))</f>
        <v>Complete</v>
      </c>
      <c r="L10" s="25" t="n">
        <f aca="false">IF(K10="Late",NETWORKDAYS(G10,AsOf)-1,0)</f>
        <v>0</v>
      </c>
      <c r="M10" s="43"/>
      <c r="N10" s="48" t="str">
        <f aca="false">IF(AND(H10="Y",I10&lt;1,G10&gt;=AsOf,G10&lt;=AsOf+60),G10+ROW()/10000,"")</f>
        <v/>
      </c>
      <c r="O10" s="48" t="str">
        <f aca="false">IF(AND(I10&gt;=1,G10&gt;AsOf-7,G10&lt;=AsOf),G10+ROW()/10000,"")</f>
        <v/>
      </c>
      <c r="P10" s="48" t="str">
        <f aca="false">IF(OR(K10="Late",K10="At Risk"),ROW(),"")</f>
        <v/>
      </c>
      <c r="Q10" s="49"/>
      <c r="R10" s="49"/>
      <c r="S10" s="49"/>
      <c r="T10" s="49"/>
      <c r="U10" s="49"/>
      <c r="V10" s="49"/>
      <c r="W10" s="49"/>
      <c r="X10" s="49"/>
      <c r="Y10" s="49"/>
      <c r="Z10" s="49"/>
      <c r="AA10" s="49"/>
      <c r="AB10" s="49"/>
      <c r="AC10" s="49"/>
      <c r="AD10" s="49"/>
      <c r="AE10" s="49"/>
      <c r="AF10" s="49"/>
      <c r="AG10" s="49"/>
      <c r="AI10" s="0" t="str">
        <f aca="false">IF(OR(B10="",E10=""),"",IF(COUNTIFS($B$6:$B$60,B10,$E$6:$E$60,"&lt;"&amp;E10)=0,B10,""))</f>
        <v>2 Design &amp; Permits</v>
      </c>
      <c r="AJ10" s="0" t="str">
        <f aca="false">IF(OR(B10="",G10=""),"",IF(COUNTIFS($B$6:$B$60,B10,$G$6:$G$60,"&gt;"&amp;G10)=0,B10,""))</f>
        <v/>
      </c>
    </row>
    <row r="11" customFormat="false" ht="15" hidden="false" customHeight="false" outlineLevel="0" collapsed="false">
      <c r="A11" s="25" t="s">
        <v>142</v>
      </c>
      <c r="B11" s="42" t="s">
        <v>86</v>
      </c>
      <c r="C11" s="43" t="s">
        <v>143</v>
      </c>
      <c r="D11" s="42" t="s">
        <v>141</v>
      </c>
      <c r="E11" s="44" t="n">
        <v>46283</v>
      </c>
      <c r="F11" s="45" t="n">
        <v>8</v>
      </c>
      <c r="G11" s="30" t="n">
        <f aca="false">IF(E11="","",WORKDAY(E11,F11-1))</f>
        <v>46294</v>
      </c>
      <c r="H11" s="45" t="s">
        <v>128</v>
      </c>
      <c r="I11" s="46" t="n">
        <v>1</v>
      </c>
      <c r="J11" s="47" t="n">
        <f aca="false">IF(E11="","",IF(AsOf&lt;E11,0,MIN(1,NETWORKDAYS(E11,AsOf)/F11)))</f>
        <v>1</v>
      </c>
      <c r="K11" s="23" t="str">
        <f aca="false">IF(E11="","",IF(I11&gt;=1,"Complete",IF(AsOf&gt;G11,"Late",IF(AsOf&lt;E11,"Not Started",IF(J11-I11&gt;0.15,"At Risk","On Track")))))</f>
        <v>Complete</v>
      </c>
      <c r="L11" s="25" t="n">
        <f aca="false">IF(K11="Late",NETWORKDAYS(G11,AsOf)-1,0)</f>
        <v>0</v>
      </c>
      <c r="M11" s="43"/>
      <c r="N11" s="48" t="str">
        <f aca="false">IF(AND(H11="Y",I11&lt;1,G11&gt;=AsOf,G11&lt;=AsOf+60),G11+ROW()/10000,"")</f>
        <v/>
      </c>
      <c r="O11" s="48" t="str">
        <f aca="false">IF(AND(I11&gt;=1,G11&gt;AsOf-7,G11&lt;=AsOf),G11+ROW()/10000,"")</f>
        <v/>
      </c>
      <c r="P11" s="48" t="str">
        <f aca="false">IF(OR(K11="Late",K11="At Risk"),ROW(),"")</f>
        <v/>
      </c>
      <c r="Q11" s="49"/>
      <c r="R11" s="49"/>
      <c r="S11" s="49"/>
      <c r="T11" s="49"/>
      <c r="U11" s="49"/>
      <c r="V11" s="49"/>
      <c r="W11" s="49"/>
      <c r="X11" s="49"/>
      <c r="Y11" s="49"/>
      <c r="Z11" s="49"/>
      <c r="AA11" s="49"/>
      <c r="AB11" s="49"/>
      <c r="AC11" s="49"/>
      <c r="AD11" s="49"/>
      <c r="AE11" s="49"/>
      <c r="AF11" s="49"/>
      <c r="AG11" s="49"/>
      <c r="AI11" s="0" t="str">
        <f aca="false">IF(OR(B11="",E11=""),"",IF(COUNTIFS($B$6:$B$60,B11,$E$6:$E$60,"&lt;"&amp;E11)=0,B11,""))</f>
        <v/>
      </c>
      <c r="AJ11" s="0" t="str">
        <f aca="false">IF(OR(B11="",G11=""),"",IF(COUNTIFS($B$6:$B$60,B11,$G$6:$G$60,"&gt;"&amp;G11)=0,B11,""))</f>
        <v/>
      </c>
    </row>
    <row r="12" customFormat="false" ht="15" hidden="false" customHeight="false" outlineLevel="0" collapsed="false">
      <c r="A12" s="25" t="s">
        <v>144</v>
      </c>
      <c r="B12" s="42" t="s">
        <v>86</v>
      </c>
      <c r="C12" s="43" t="s">
        <v>145</v>
      </c>
      <c r="D12" s="42" t="s">
        <v>146</v>
      </c>
      <c r="E12" s="44" t="n">
        <v>46295</v>
      </c>
      <c r="F12" s="45" t="n">
        <v>5</v>
      </c>
      <c r="G12" s="30" t="n">
        <f aca="false">IF(E12="","",WORKDAY(E12,F12-1))</f>
        <v>46301</v>
      </c>
      <c r="H12" s="45" t="s">
        <v>132</v>
      </c>
      <c r="I12" s="46" t="n">
        <v>1</v>
      </c>
      <c r="J12" s="47" t="n">
        <f aca="false">IF(E12="","",IF(AsOf&lt;E12,0,MIN(1,NETWORKDAYS(E12,AsOf)/F12)))</f>
        <v>1</v>
      </c>
      <c r="K12" s="23" t="str">
        <f aca="false">IF(E12="","",IF(I12&gt;=1,"Complete",IF(AsOf&gt;G12,"Late",IF(AsOf&lt;E12,"Not Started",IF(J12-I12&gt;0.15,"At Risk","On Track")))))</f>
        <v>Complete</v>
      </c>
      <c r="L12" s="25" t="n">
        <f aca="false">IF(K12="Late",NETWORKDAYS(G12,AsOf)-1,0)</f>
        <v>0</v>
      </c>
      <c r="M12" s="43"/>
      <c r="N12" s="48" t="str">
        <f aca="false">IF(AND(H12="Y",I12&lt;1,G12&gt;=AsOf,G12&lt;=AsOf+60),G12+ROW()/10000,"")</f>
        <v/>
      </c>
      <c r="O12" s="48" t="str">
        <f aca="false">IF(AND(I12&gt;=1,G12&gt;AsOf-7,G12&lt;=AsOf),G12+ROW()/10000,"")</f>
        <v/>
      </c>
      <c r="P12" s="48" t="str">
        <f aca="false">IF(OR(K12="Late",K12="At Risk"),ROW(),"")</f>
        <v/>
      </c>
      <c r="Q12" s="49"/>
      <c r="R12" s="49"/>
      <c r="S12" s="49"/>
      <c r="T12" s="49"/>
      <c r="U12" s="49"/>
      <c r="V12" s="49"/>
      <c r="W12" s="49"/>
      <c r="X12" s="49"/>
      <c r="Y12" s="49"/>
      <c r="Z12" s="49"/>
      <c r="AA12" s="49"/>
      <c r="AB12" s="49"/>
      <c r="AC12" s="49"/>
      <c r="AD12" s="49"/>
      <c r="AE12" s="49"/>
      <c r="AF12" s="49"/>
      <c r="AG12" s="49"/>
      <c r="AI12" s="0" t="str">
        <f aca="false">IF(OR(B12="",E12=""),"",IF(COUNTIFS($B$6:$B$60,B12,$E$6:$E$60,"&lt;"&amp;E12)=0,B12,""))</f>
        <v/>
      </c>
      <c r="AJ12" s="0" t="str">
        <f aca="false">IF(OR(B12="",G12=""),"",IF(COUNTIFS($B$6:$B$60,B12,$G$6:$G$60,"&gt;"&amp;G12)=0,B12,""))</f>
        <v/>
      </c>
    </row>
    <row r="13" customFormat="false" ht="15" hidden="false" customHeight="false" outlineLevel="0" collapsed="false">
      <c r="A13" s="25" t="s">
        <v>147</v>
      </c>
      <c r="B13" s="42" t="s">
        <v>86</v>
      </c>
      <c r="C13" s="43" t="s">
        <v>148</v>
      </c>
      <c r="D13" s="42" t="s">
        <v>149</v>
      </c>
      <c r="E13" s="44" t="n">
        <v>46295</v>
      </c>
      <c r="F13" s="45" t="n">
        <v>10</v>
      </c>
      <c r="G13" s="30" t="n">
        <f aca="false">IF(E13="","",WORKDAY(E13,F13-1))</f>
        <v>46308</v>
      </c>
      <c r="H13" s="45" t="s">
        <v>128</v>
      </c>
      <c r="I13" s="46" t="n">
        <v>1</v>
      </c>
      <c r="J13" s="47" t="n">
        <f aca="false">IF(E13="","",IF(AsOf&lt;E13,0,MIN(1,NETWORKDAYS(E13,AsOf)/F13)))</f>
        <v>1</v>
      </c>
      <c r="K13" s="23" t="str">
        <f aca="false">IF(E13="","",IF(I13&gt;=1,"Complete",IF(AsOf&gt;G13,"Late",IF(AsOf&lt;E13,"Not Started",IF(J13-I13&gt;0.15,"At Risk","On Track")))))</f>
        <v>Complete</v>
      </c>
      <c r="L13" s="25" t="n">
        <f aca="false">IF(K13="Late",NETWORKDAYS(G13,AsOf)-1,0)</f>
        <v>0</v>
      </c>
      <c r="M13" s="43"/>
      <c r="N13" s="48" t="str">
        <f aca="false">IF(AND(H13="Y",I13&lt;1,G13&gt;=AsOf,G13&lt;=AsOf+60),G13+ROW()/10000,"")</f>
        <v/>
      </c>
      <c r="O13" s="50" t="n">
        <f aca="false">IF(AND(I13&gt;=1,G13&gt;AsOf-7,G13&lt;=AsOf),G13+ROW()/10000,"")</f>
        <v>46308.0013</v>
      </c>
      <c r="P13" s="48" t="str">
        <f aca="false">IF(OR(K13="Late",K13="At Risk"),ROW(),"")</f>
        <v/>
      </c>
      <c r="Q13" s="49"/>
      <c r="R13" s="49"/>
      <c r="S13" s="49"/>
      <c r="T13" s="49"/>
      <c r="U13" s="49"/>
      <c r="V13" s="49"/>
      <c r="W13" s="49"/>
      <c r="X13" s="49"/>
      <c r="Y13" s="49"/>
      <c r="Z13" s="49"/>
      <c r="AA13" s="49"/>
      <c r="AB13" s="49"/>
      <c r="AC13" s="49"/>
      <c r="AD13" s="49"/>
      <c r="AE13" s="49"/>
      <c r="AF13" s="49"/>
      <c r="AG13" s="49"/>
      <c r="AI13" s="0" t="str">
        <f aca="false">IF(OR(B13="",E13=""),"",IF(COUNTIFS($B$6:$B$60,B13,$E$6:$E$60,"&lt;"&amp;E13)=0,B13,""))</f>
        <v/>
      </c>
      <c r="AJ13" s="0" t="str">
        <f aca="false">IF(OR(B13="",G13=""),"",IF(COUNTIFS($B$6:$B$60,B13,$G$6:$G$60,"&gt;"&amp;G13)=0,B13,""))</f>
        <v>2 Design &amp; Permits</v>
      </c>
    </row>
    <row r="14" customFormat="false" ht="23.85" hidden="false" customHeight="false" outlineLevel="0" collapsed="false">
      <c r="A14" s="25" t="s">
        <v>150</v>
      </c>
      <c r="B14" s="42" t="s">
        <v>87</v>
      </c>
      <c r="C14" s="43" t="s">
        <v>151</v>
      </c>
      <c r="D14" s="42" t="s">
        <v>149</v>
      </c>
      <c r="E14" s="44" t="n">
        <v>46309</v>
      </c>
      <c r="F14" s="45" t="n">
        <v>3</v>
      </c>
      <c r="G14" s="30" t="n">
        <f aca="false">IF(E14="","",WORKDAY(E14,F14-1))</f>
        <v>46311</v>
      </c>
      <c r="H14" s="45" t="s">
        <v>132</v>
      </c>
      <c r="I14" s="46" t="n">
        <v>1</v>
      </c>
      <c r="J14" s="47" t="n">
        <f aca="false">IF(E14="","",IF(AsOf&lt;E14,0,MIN(1,NETWORKDAYS(E14,AsOf)/F14)))</f>
        <v>1</v>
      </c>
      <c r="K14" s="23" t="str">
        <f aca="false">IF(E14="","",IF(I14&gt;=1,"Complete",IF(AsOf&gt;G14,"Late",IF(AsOf&lt;E14,"Not Started",IF(J14-I14&gt;0.15,"At Risk","On Track")))))</f>
        <v>Complete</v>
      </c>
      <c r="L14" s="25" t="n">
        <f aca="false">IF(K14="Late",NETWORKDAYS(G14,AsOf)-1,0)</f>
        <v>0</v>
      </c>
      <c r="M14" s="43" t="s">
        <v>152</v>
      </c>
      <c r="N14" s="48" t="str">
        <f aca="false">IF(AND(H14="Y",I14&lt;1,G14&gt;=AsOf,G14&lt;=AsOf+60),G14+ROW()/10000,"")</f>
        <v/>
      </c>
      <c r="O14" s="50" t="n">
        <f aca="false">IF(AND(I14&gt;=1,G14&gt;AsOf-7,G14&lt;=AsOf),G14+ROW()/10000,"")</f>
        <v>46311.0014</v>
      </c>
      <c r="P14" s="48" t="str">
        <f aca="false">IF(OR(K14="Late",K14="At Risk"),ROW(),"")</f>
        <v/>
      </c>
      <c r="Q14" s="49"/>
      <c r="R14" s="49"/>
      <c r="S14" s="49"/>
      <c r="T14" s="49"/>
      <c r="U14" s="49"/>
      <c r="V14" s="49"/>
      <c r="W14" s="49"/>
      <c r="X14" s="49"/>
      <c r="Y14" s="49"/>
      <c r="Z14" s="49"/>
      <c r="AA14" s="49"/>
      <c r="AB14" s="49"/>
      <c r="AC14" s="49"/>
      <c r="AD14" s="49"/>
      <c r="AE14" s="49"/>
      <c r="AF14" s="49"/>
      <c r="AG14" s="49"/>
      <c r="AI14" s="0" t="str">
        <f aca="false">IF(OR(B14="",E14=""),"",IF(COUNTIFS($B$6:$B$60,B14,$E$6:$E$60,"&lt;"&amp;E14)=0,B14,""))</f>
        <v>3 Construction</v>
      </c>
      <c r="AJ14" s="0" t="str">
        <f aca="false">IF(OR(B14="",G14=""),"",IF(COUNTIFS($B$6:$B$60,B14,$G$6:$G$60,"&gt;"&amp;G14)=0,B14,""))</f>
        <v/>
      </c>
    </row>
    <row r="15" customFormat="false" ht="15" hidden="false" customHeight="false" outlineLevel="0" collapsed="false">
      <c r="A15" s="25" t="s">
        <v>153</v>
      </c>
      <c r="B15" s="42" t="s">
        <v>87</v>
      </c>
      <c r="C15" s="43" t="s">
        <v>154</v>
      </c>
      <c r="D15" s="42" t="s">
        <v>149</v>
      </c>
      <c r="E15" s="44" t="n">
        <v>46314</v>
      </c>
      <c r="F15" s="45" t="n">
        <v>8</v>
      </c>
      <c r="G15" s="30" t="n">
        <f aca="false">IF(E15="","",WORKDAY(E15,F15-1))</f>
        <v>46323</v>
      </c>
      <c r="H15" s="45" t="s">
        <v>132</v>
      </c>
      <c r="I15" s="46" t="n">
        <v>0</v>
      </c>
      <c r="J15" s="47" t="n">
        <f aca="false">IF(E15="","",IF(AsOf&lt;E15,0,MIN(1,NETWORKDAYS(E15,AsOf)/F15)))</f>
        <v>0</v>
      </c>
      <c r="K15" s="23" t="str">
        <f aca="false">IF(E15="","",IF(I15&gt;=1,"Complete",IF(AsOf&gt;G15,"Late",IF(AsOf&lt;E15,"Not Started",IF(J15-I15&gt;0.15,"At Risk","On Track")))))</f>
        <v>Not Started</v>
      </c>
      <c r="L15" s="25" t="n">
        <f aca="false">IF(K15="Late",NETWORKDAYS(G15,AsOf)-1,0)</f>
        <v>0</v>
      </c>
      <c r="M15" s="43"/>
      <c r="N15" s="48" t="str">
        <f aca="false">IF(AND(H15="Y",I15&lt;1,G15&gt;=AsOf,G15&lt;=AsOf+60),G15+ROW()/10000,"")</f>
        <v/>
      </c>
      <c r="O15" s="48" t="str">
        <f aca="false">IF(AND(I15&gt;=1,G15&gt;AsOf-7,G15&lt;=AsOf),G15+ROW()/10000,"")</f>
        <v/>
      </c>
      <c r="P15" s="48" t="str">
        <f aca="false">IF(OR(K15="Late",K15="At Risk"),ROW(),"")</f>
        <v/>
      </c>
      <c r="Q15" s="49"/>
      <c r="R15" s="49"/>
      <c r="S15" s="49"/>
      <c r="T15" s="49"/>
      <c r="U15" s="49"/>
      <c r="V15" s="49"/>
      <c r="W15" s="49"/>
      <c r="X15" s="49"/>
      <c r="Y15" s="49"/>
      <c r="Z15" s="49"/>
      <c r="AA15" s="49"/>
      <c r="AB15" s="49"/>
      <c r="AC15" s="49"/>
      <c r="AD15" s="49"/>
      <c r="AE15" s="49"/>
      <c r="AF15" s="49"/>
      <c r="AG15" s="49"/>
      <c r="AI15" s="0" t="str">
        <f aca="false">IF(OR(B15="",E15=""),"",IF(COUNTIFS($B$6:$B$60,B15,$E$6:$E$60,"&lt;"&amp;E15)=0,B15,""))</f>
        <v/>
      </c>
      <c r="AJ15" s="0" t="str">
        <f aca="false">IF(OR(B15="",G15=""),"",IF(COUNTIFS($B$6:$B$60,B15,$G$6:$G$60,"&gt;"&amp;G15)=0,B15,""))</f>
        <v/>
      </c>
    </row>
    <row r="16" customFormat="false" ht="15" hidden="false" customHeight="false" outlineLevel="0" collapsed="false">
      <c r="A16" s="25" t="s">
        <v>155</v>
      </c>
      <c r="B16" s="42" t="s">
        <v>87</v>
      </c>
      <c r="C16" s="43" t="s">
        <v>156</v>
      </c>
      <c r="D16" s="42" t="s">
        <v>149</v>
      </c>
      <c r="E16" s="44" t="n">
        <v>46321</v>
      </c>
      <c r="F16" s="45" t="n">
        <v>7</v>
      </c>
      <c r="G16" s="30" t="n">
        <f aca="false">IF(E16="","",WORKDAY(E16,F16-1))</f>
        <v>46329</v>
      </c>
      <c r="H16" s="45" t="s">
        <v>132</v>
      </c>
      <c r="I16" s="46" t="n">
        <v>0</v>
      </c>
      <c r="J16" s="47" t="n">
        <f aca="false">IF(E16="","",IF(AsOf&lt;E16,0,MIN(1,NETWORKDAYS(E16,AsOf)/F16)))</f>
        <v>0</v>
      </c>
      <c r="K16" s="23" t="str">
        <f aca="false">IF(E16="","",IF(I16&gt;=1,"Complete",IF(AsOf&gt;G16,"Late",IF(AsOf&lt;E16,"Not Started",IF(J16-I16&gt;0.15,"At Risk","On Track")))))</f>
        <v>Not Started</v>
      </c>
      <c r="L16" s="25" t="n">
        <f aca="false">IF(K16="Late",NETWORKDAYS(G16,AsOf)-1,0)</f>
        <v>0</v>
      </c>
      <c r="M16" s="43"/>
      <c r="N16" s="48" t="str">
        <f aca="false">IF(AND(H16="Y",I16&lt;1,G16&gt;=AsOf,G16&lt;=AsOf+60),G16+ROW()/10000,"")</f>
        <v/>
      </c>
      <c r="O16" s="48" t="str">
        <f aca="false">IF(AND(I16&gt;=1,G16&gt;AsOf-7,G16&lt;=AsOf),G16+ROW()/10000,"")</f>
        <v/>
      </c>
      <c r="P16" s="48" t="str">
        <f aca="false">IF(OR(K16="Late",K16="At Risk"),ROW(),"")</f>
        <v/>
      </c>
      <c r="Q16" s="49"/>
      <c r="R16" s="49"/>
      <c r="S16" s="49"/>
      <c r="T16" s="49"/>
      <c r="U16" s="49"/>
      <c r="V16" s="49"/>
      <c r="W16" s="49"/>
      <c r="X16" s="49"/>
      <c r="Y16" s="49"/>
      <c r="Z16" s="49"/>
      <c r="AA16" s="49"/>
      <c r="AB16" s="49"/>
      <c r="AC16" s="49"/>
      <c r="AD16" s="49"/>
      <c r="AE16" s="49"/>
      <c r="AF16" s="49"/>
      <c r="AG16" s="49"/>
      <c r="AI16" s="0" t="str">
        <f aca="false">IF(OR(B16="",E16=""),"",IF(COUNTIFS($B$6:$B$60,B16,$E$6:$E$60,"&lt;"&amp;E16)=0,B16,""))</f>
        <v/>
      </c>
      <c r="AJ16" s="0" t="str">
        <f aca="false">IF(OR(B16="",G16=""),"",IF(COUNTIFS($B$6:$B$60,B16,$G$6:$G$60,"&gt;"&amp;G16)=0,B16,""))</f>
        <v/>
      </c>
    </row>
    <row r="17" customFormat="false" ht="15" hidden="false" customHeight="false" outlineLevel="0" collapsed="false">
      <c r="A17" s="25" t="s">
        <v>157</v>
      </c>
      <c r="B17" s="42" t="s">
        <v>87</v>
      </c>
      <c r="C17" s="43" t="s">
        <v>158</v>
      </c>
      <c r="D17" s="42" t="s">
        <v>149</v>
      </c>
      <c r="E17" s="44" t="n">
        <v>46321</v>
      </c>
      <c r="F17" s="45" t="n">
        <v>8</v>
      </c>
      <c r="G17" s="30" t="n">
        <f aca="false">IF(E17="","",WORKDAY(E17,F17-1))</f>
        <v>46330</v>
      </c>
      <c r="H17" s="45" t="s">
        <v>132</v>
      </c>
      <c r="I17" s="46" t="n">
        <v>0</v>
      </c>
      <c r="J17" s="47" t="n">
        <f aca="false">IF(E17="","",IF(AsOf&lt;E17,0,MIN(1,NETWORKDAYS(E17,AsOf)/F17)))</f>
        <v>0</v>
      </c>
      <c r="K17" s="23" t="str">
        <f aca="false">IF(E17="","",IF(I17&gt;=1,"Complete",IF(AsOf&gt;G17,"Late",IF(AsOf&lt;E17,"Not Started",IF(J17-I17&gt;0.15,"At Risk","On Track")))))</f>
        <v>Not Started</v>
      </c>
      <c r="L17" s="25" t="n">
        <f aca="false">IF(K17="Late",NETWORKDAYS(G17,AsOf)-1,0)</f>
        <v>0</v>
      </c>
      <c r="M17" s="43"/>
      <c r="N17" s="48" t="str">
        <f aca="false">IF(AND(H17="Y",I17&lt;1,G17&gt;=AsOf,G17&lt;=AsOf+60),G17+ROW()/10000,"")</f>
        <v/>
      </c>
      <c r="O17" s="48" t="str">
        <f aca="false">IF(AND(I17&gt;=1,G17&gt;AsOf-7,G17&lt;=AsOf),G17+ROW()/10000,"")</f>
        <v/>
      </c>
      <c r="P17" s="48" t="str">
        <f aca="false">IF(OR(K17="Late",K17="At Risk"),ROW(),"")</f>
        <v/>
      </c>
      <c r="Q17" s="49"/>
      <c r="R17" s="49"/>
      <c r="S17" s="49"/>
      <c r="T17" s="49"/>
      <c r="U17" s="49"/>
      <c r="V17" s="49"/>
      <c r="W17" s="49"/>
      <c r="X17" s="49"/>
      <c r="Y17" s="49"/>
      <c r="Z17" s="49"/>
      <c r="AA17" s="49"/>
      <c r="AB17" s="49"/>
      <c r="AC17" s="49"/>
      <c r="AD17" s="49"/>
      <c r="AE17" s="49"/>
      <c r="AF17" s="49"/>
      <c r="AG17" s="49"/>
      <c r="AI17" s="0" t="str">
        <f aca="false">IF(OR(B17="",E17=""),"",IF(COUNTIFS($B$6:$B$60,B17,$E$6:$E$60,"&lt;"&amp;E17)=0,B17,""))</f>
        <v/>
      </c>
      <c r="AJ17" s="0" t="str">
        <f aca="false">IF(OR(B17="",G17=""),"",IF(COUNTIFS($B$6:$B$60,B17,$G$6:$G$60,"&gt;"&amp;G17)=0,B17,""))</f>
        <v/>
      </c>
    </row>
    <row r="18" customFormat="false" ht="15" hidden="false" customHeight="false" outlineLevel="0" collapsed="false">
      <c r="A18" s="25" t="s">
        <v>159</v>
      </c>
      <c r="B18" s="42" t="s">
        <v>87</v>
      </c>
      <c r="C18" s="43" t="s">
        <v>160</v>
      </c>
      <c r="D18" s="42" t="s">
        <v>149</v>
      </c>
      <c r="E18" s="44" t="n">
        <v>46331</v>
      </c>
      <c r="F18" s="45" t="n">
        <v>2</v>
      </c>
      <c r="G18" s="30" t="n">
        <f aca="false">IF(E18="","",WORKDAY(E18,F18-1))</f>
        <v>46332</v>
      </c>
      <c r="H18" s="45" t="s">
        <v>128</v>
      </c>
      <c r="I18" s="46" t="n">
        <v>0</v>
      </c>
      <c r="J18" s="47" t="n">
        <f aca="false">IF(E18="","",IF(AsOf&lt;E18,0,MIN(1,NETWORKDAYS(E18,AsOf)/F18)))</f>
        <v>0</v>
      </c>
      <c r="K18" s="23" t="str">
        <f aca="false">IF(E18="","",IF(I18&gt;=1,"Complete",IF(AsOf&gt;G18,"Late",IF(AsOf&lt;E18,"Not Started",IF(J18-I18&gt;0.15,"At Risk","On Track")))))</f>
        <v>Not Started</v>
      </c>
      <c r="L18" s="25" t="n">
        <f aca="false">IF(K18="Late",NETWORKDAYS(G18,AsOf)-1,0)</f>
        <v>0</v>
      </c>
      <c r="M18" s="43"/>
      <c r="N18" s="50" t="n">
        <f aca="false">IF(AND(H18="Y",I18&lt;1,G18&gt;=AsOf,G18&lt;=AsOf+60),G18+ROW()/10000,"")</f>
        <v>46332.0018</v>
      </c>
      <c r="O18" s="48" t="str">
        <f aca="false">IF(AND(I18&gt;=1,G18&gt;AsOf-7,G18&lt;=AsOf),G18+ROW()/10000,"")</f>
        <v/>
      </c>
      <c r="P18" s="48" t="str">
        <f aca="false">IF(OR(K18="Late",K18="At Risk"),ROW(),"")</f>
        <v/>
      </c>
      <c r="Q18" s="49"/>
      <c r="R18" s="49"/>
      <c r="S18" s="49"/>
      <c r="T18" s="49"/>
      <c r="U18" s="49"/>
      <c r="V18" s="49"/>
      <c r="W18" s="49"/>
      <c r="X18" s="49"/>
      <c r="Y18" s="49"/>
      <c r="Z18" s="49"/>
      <c r="AA18" s="49"/>
      <c r="AB18" s="49"/>
      <c r="AC18" s="49"/>
      <c r="AD18" s="49"/>
      <c r="AE18" s="49"/>
      <c r="AF18" s="49"/>
      <c r="AG18" s="49"/>
      <c r="AI18" s="0" t="str">
        <f aca="false">IF(OR(B18="",E18=""),"",IF(COUNTIFS($B$6:$B$60,B18,$E$6:$E$60,"&lt;"&amp;E18)=0,B18,""))</f>
        <v/>
      </c>
      <c r="AJ18" s="0" t="str">
        <f aca="false">IF(OR(B18="",G18=""),"",IF(COUNTIFS($B$6:$B$60,B18,$G$6:$G$60,"&gt;"&amp;G18)=0,B18,""))</f>
        <v/>
      </c>
    </row>
    <row r="19" customFormat="false" ht="15" hidden="false" customHeight="false" outlineLevel="0" collapsed="false">
      <c r="A19" s="25" t="s">
        <v>161</v>
      </c>
      <c r="B19" s="42" t="s">
        <v>87</v>
      </c>
      <c r="C19" s="43" t="s">
        <v>162</v>
      </c>
      <c r="D19" s="42" t="s">
        <v>149</v>
      </c>
      <c r="E19" s="44" t="n">
        <v>46335</v>
      </c>
      <c r="F19" s="45" t="n">
        <v>8</v>
      </c>
      <c r="G19" s="30" t="n">
        <f aca="false">IF(E19="","",WORKDAY(E19,F19-1))</f>
        <v>46344</v>
      </c>
      <c r="H19" s="45" t="s">
        <v>132</v>
      </c>
      <c r="I19" s="46" t="n">
        <v>0</v>
      </c>
      <c r="J19" s="47" t="n">
        <f aca="false">IF(E19="","",IF(AsOf&lt;E19,0,MIN(1,NETWORKDAYS(E19,AsOf)/F19)))</f>
        <v>0</v>
      </c>
      <c r="K19" s="23" t="str">
        <f aca="false">IF(E19="","",IF(I19&gt;=1,"Complete",IF(AsOf&gt;G19,"Late",IF(AsOf&lt;E19,"Not Started",IF(J19-I19&gt;0.15,"At Risk","On Track")))))</f>
        <v>Not Started</v>
      </c>
      <c r="L19" s="25" t="n">
        <f aca="false">IF(K19="Late",NETWORKDAYS(G19,AsOf)-1,0)</f>
        <v>0</v>
      </c>
      <c r="M19" s="43"/>
      <c r="N19" s="48" t="str">
        <f aca="false">IF(AND(H19="Y",I19&lt;1,G19&gt;=AsOf,G19&lt;=AsOf+60),G19+ROW()/10000,"")</f>
        <v/>
      </c>
      <c r="O19" s="48" t="str">
        <f aca="false">IF(AND(I19&gt;=1,G19&gt;AsOf-7,G19&lt;=AsOf),G19+ROW()/10000,"")</f>
        <v/>
      </c>
      <c r="P19" s="48" t="str">
        <f aca="false">IF(OR(K19="Late",K19="At Risk"),ROW(),"")</f>
        <v/>
      </c>
      <c r="Q19" s="49"/>
      <c r="R19" s="49"/>
      <c r="S19" s="49"/>
      <c r="T19" s="49"/>
      <c r="U19" s="49"/>
      <c r="V19" s="49"/>
      <c r="W19" s="49"/>
      <c r="X19" s="49"/>
      <c r="Y19" s="49"/>
      <c r="Z19" s="49"/>
      <c r="AA19" s="49"/>
      <c r="AB19" s="49"/>
      <c r="AC19" s="49"/>
      <c r="AD19" s="49"/>
      <c r="AE19" s="49"/>
      <c r="AF19" s="49"/>
      <c r="AG19" s="49"/>
      <c r="AI19" s="0" t="str">
        <f aca="false">IF(OR(B19="",E19=""),"",IF(COUNTIFS($B$6:$B$60,B19,$E$6:$E$60,"&lt;"&amp;E19)=0,B19,""))</f>
        <v/>
      </c>
      <c r="AJ19" s="0" t="str">
        <f aca="false">IF(OR(B19="",G19=""),"",IF(COUNTIFS($B$6:$B$60,B19,$G$6:$G$60,"&gt;"&amp;G19)=0,B19,""))</f>
        <v/>
      </c>
    </row>
    <row r="20" customFormat="false" ht="15" hidden="false" customHeight="false" outlineLevel="0" collapsed="false">
      <c r="A20" s="25" t="s">
        <v>163</v>
      </c>
      <c r="B20" s="42" t="s">
        <v>87</v>
      </c>
      <c r="C20" s="43" t="s">
        <v>164</v>
      </c>
      <c r="D20" s="42" t="s">
        <v>149</v>
      </c>
      <c r="E20" s="44" t="n">
        <v>46345</v>
      </c>
      <c r="F20" s="45" t="n">
        <v>5</v>
      </c>
      <c r="G20" s="30" t="n">
        <f aca="false">IF(E20="","",WORKDAY(E20,F20-1))</f>
        <v>46351</v>
      </c>
      <c r="H20" s="45" t="s">
        <v>132</v>
      </c>
      <c r="I20" s="46" t="n">
        <v>0</v>
      </c>
      <c r="J20" s="47" t="n">
        <f aca="false">IF(E20="","",IF(AsOf&lt;E20,0,MIN(1,NETWORKDAYS(E20,AsOf)/F20)))</f>
        <v>0</v>
      </c>
      <c r="K20" s="23" t="str">
        <f aca="false">IF(E20="","",IF(I20&gt;=1,"Complete",IF(AsOf&gt;G20,"Late",IF(AsOf&lt;E20,"Not Started",IF(J20-I20&gt;0.15,"At Risk","On Track")))))</f>
        <v>Not Started</v>
      </c>
      <c r="L20" s="25" t="n">
        <f aca="false">IF(K20="Late",NETWORKDAYS(G20,AsOf)-1,0)</f>
        <v>0</v>
      </c>
      <c r="M20" s="43"/>
      <c r="N20" s="48" t="str">
        <f aca="false">IF(AND(H20="Y",I20&lt;1,G20&gt;=AsOf,G20&lt;=AsOf+60),G20+ROW()/10000,"")</f>
        <v/>
      </c>
      <c r="O20" s="48" t="str">
        <f aca="false">IF(AND(I20&gt;=1,G20&gt;AsOf-7,G20&lt;=AsOf),G20+ROW()/10000,"")</f>
        <v/>
      </c>
      <c r="P20" s="48" t="str">
        <f aca="false">IF(OR(K20="Late",K20="At Risk"),ROW(),"")</f>
        <v/>
      </c>
      <c r="Q20" s="49"/>
      <c r="R20" s="49"/>
      <c r="S20" s="49"/>
      <c r="T20" s="49"/>
      <c r="U20" s="49"/>
      <c r="V20" s="49"/>
      <c r="W20" s="49"/>
      <c r="X20" s="49"/>
      <c r="Y20" s="49"/>
      <c r="Z20" s="49"/>
      <c r="AA20" s="49"/>
      <c r="AB20" s="49"/>
      <c r="AC20" s="49"/>
      <c r="AD20" s="49"/>
      <c r="AE20" s="49"/>
      <c r="AF20" s="49"/>
      <c r="AG20" s="49"/>
      <c r="AI20" s="0" t="str">
        <f aca="false">IF(OR(B20="",E20=""),"",IF(COUNTIFS($B$6:$B$60,B20,$E$6:$E$60,"&lt;"&amp;E20)=0,B20,""))</f>
        <v/>
      </c>
      <c r="AJ20" s="0" t="str">
        <f aca="false">IF(OR(B20="",G20=""),"",IF(COUNTIFS($B$6:$B$60,B20,$G$6:$G$60,"&gt;"&amp;G20)=0,B20,""))</f>
        <v/>
      </c>
    </row>
    <row r="21" customFormat="false" ht="15" hidden="false" customHeight="false" outlineLevel="0" collapsed="false">
      <c r="A21" s="25" t="s">
        <v>165</v>
      </c>
      <c r="B21" s="42" t="s">
        <v>87</v>
      </c>
      <c r="C21" s="43" t="s">
        <v>166</v>
      </c>
      <c r="D21" s="42" t="s">
        <v>149</v>
      </c>
      <c r="E21" s="44" t="n">
        <v>46356</v>
      </c>
      <c r="F21" s="45" t="n">
        <v>4</v>
      </c>
      <c r="G21" s="30" t="n">
        <f aca="false">IF(E21="","",WORKDAY(E21,F21-1))</f>
        <v>46359</v>
      </c>
      <c r="H21" s="45" t="s">
        <v>132</v>
      </c>
      <c r="I21" s="46" t="n">
        <v>0</v>
      </c>
      <c r="J21" s="47" t="n">
        <f aca="false">IF(E21="","",IF(AsOf&lt;E21,0,MIN(1,NETWORKDAYS(E21,AsOf)/F21)))</f>
        <v>0</v>
      </c>
      <c r="K21" s="23" t="str">
        <f aca="false">IF(E21="","",IF(I21&gt;=1,"Complete",IF(AsOf&gt;G21,"Late",IF(AsOf&lt;E21,"Not Started",IF(J21-I21&gt;0.15,"At Risk","On Track")))))</f>
        <v>Not Started</v>
      </c>
      <c r="L21" s="25" t="n">
        <f aca="false">IF(K21="Late",NETWORKDAYS(G21,AsOf)-1,0)</f>
        <v>0</v>
      </c>
      <c r="M21" s="43"/>
      <c r="N21" s="48" t="str">
        <f aca="false">IF(AND(H21="Y",I21&lt;1,G21&gt;=AsOf,G21&lt;=AsOf+60),G21+ROW()/10000,"")</f>
        <v/>
      </c>
      <c r="O21" s="48" t="str">
        <f aca="false">IF(AND(I21&gt;=1,G21&gt;AsOf-7,G21&lt;=AsOf),G21+ROW()/10000,"")</f>
        <v/>
      </c>
      <c r="P21" s="48" t="str">
        <f aca="false">IF(OR(K21="Late",K21="At Risk"),ROW(),"")</f>
        <v/>
      </c>
      <c r="Q21" s="49"/>
      <c r="R21" s="49"/>
      <c r="S21" s="49"/>
      <c r="T21" s="49"/>
      <c r="U21" s="49"/>
      <c r="V21" s="49"/>
      <c r="W21" s="49"/>
      <c r="X21" s="49"/>
      <c r="Y21" s="49"/>
      <c r="Z21" s="49"/>
      <c r="AA21" s="49"/>
      <c r="AB21" s="49"/>
      <c r="AC21" s="49"/>
      <c r="AD21" s="49"/>
      <c r="AE21" s="49"/>
      <c r="AF21" s="49"/>
      <c r="AG21" s="49"/>
      <c r="AI21" s="0" t="str">
        <f aca="false">IF(OR(B21="",E21=""),"",IF(COUNTIFS($B$6:$B$60,B21,$E$6:$E$60,"&lt;"&amp;E21)=0,B21,""))</f>
        <v/>
      </c>
      <c r="AJ21" s="0" t="str">
        <f aca="false">IF(OR(B21="",G21=""),"",IF(COUNTIFS($B$6:$B$60,B21,$G$6:$G$60,"&gt;"&amp;G21)=0,B21,""))</f>
        <v/>
      </c>
    </row>
    <row r="22" customFormat="false" ht="15" hidden="false" customHeight="false" outlineLevel="0" collapsed="false">
      <c r="A22" s="25" t="s">
        <v>167</v>
      </c>
      <c r="B22" s="42" t="s">
        <v>87</v>
      </c>
      <c r="C22" s="43" t="s">
        <v>168</v>
      </c>
      <c r="D22" s="42" t="s">
        <v>149</v>
      </c>
      <c r="E22" s="44" t="n">
        <v>46360</v>
      </c>
      <c r="F22" s="45" t="n">
        <v>3</v>
      </c>
      <c r="G22" s="30" t="n">
        <f aca="false">IF(E22="","",WORKDAY(E22,F22-1))</f>
        <v>46364</v>
      </c>
      <c r="H22" s="45" t="s">
        <v>128</v>
      </c>
      <c r="I22" s="46" t="n">
        <v>0</v>
      </c>
      <c r="J22" s="47" t="n">
        <f aca="false">IF(E22="","",IF(AsOf&lt;E22,0,MIN(1,NETWORKDAYS(E22,AsOf)/F22)))</f>
        <v>0</v>
      </c>
      <c r="K22" s="23" t="str">
        <f aca="false">IF(E22="","",IF(I22&gt;=1,"Complete",IF(AsOf&gt;G22,"Late",IF(AsOf&lt;E22,"Not Started",IF(J22-I22&gt;0.15,"At Risk","On Track")))))</f>
        <v>Not Started</v>
      </c>
      <c r="L22" s="25" t="n">
        <f aca="false">IF(K22="Late",NETWORKDAYS(G22,AsOf)-1,0)</f>
        <v>0</v>
      </c>
      <c r="M22" s="43" t="s">
        <v>169</v>
      </c>
      <c r="N22" s="50" t="n">
        <f aca="false">IF(AND(H22="Y",I22&lt;1,G22&gt;=AsOf,G22&lt;=AsOf+60),G22+ROW()/10000,"")</f>
        <v>46364.0022</v>
      </c>
      <c r="O22" s="48" t="str">
        <f aca="false">IF(AND(I22&gt;=1,G22&gt;AsOf-7,G22&lt;=AsOf),G22+ROW()/10000,"")</f>
        <v/>
      </c>
      <c r="P22" s="48" t="str">
        <f aca="false">IF(OR(K22="Late",K22="At Risk"),ROW(),"")</f>
        <v/>
      </c>
      <c r="Q22" s="49"/>
      <c r="R22" s="49"/>
      <c r="S22" s="49"/>
      <c r="T22" s="49"/>
      <c r="U22" s="49"/>
      <c r="V22" s="49"/>
      <c r="W22" s="49"/>
      <c r="X22" s="49"/>
      <c r="Y22" s="49"/>
      <c r="Z22" s="49"/>
      <c r="AA22" s="49"/>
      <c r="AB22" s="49"/>
      <c r="AC22" s="49"/>
      <c r="AD22" s="49"/>
      <c r="AE22" s="49"/>
      <c r="AF22" s="49"/>
      <c r="AG22" s="49"/>
      <c r="AI22" s="0" t="str">
        <f aca="false">IF(OR(B22="",E22=""),"",IF(COUNTIFS($B$6:$B$60,B22,$E$6:$E$60,"&lt;"&amp;E22)=0,B22,""))</f>
        <v/>
      </c>
      <c r="AJ22" s="0" t="str">
        <f aca="false">IF(OR(B22="",G22=""),"",IF(COUNTIFS($B$6:$B$60,B22,$G$6:$G$60,"&gt;"&amp;G22)=0,B22,""))</f>
        <v>3 Construction</v>
      </c>
    </row>
    <row r="23" customFormat="false" ht="15" hidden="false" customHeight="false" outlineLevel="0" collapsed="false">
      <c r="A23" s="25" t="s">
        <v>170</v>
      </c>
      <c r="B23" s="42" t="s">
        <v>88</v>
      </c>
      <c r="C23" s="43" t="s">
        <v>171</v>
      </c>
      <c r="D23" s="42" t="s">
        <v>172</v>
      </c>
      <c r="E23" s="44" t="n">
        <v>46286</v>
      </c>
      <c r="F23" s="45" t="n">
        <v>15</v>
      </c>
      <c r="G23" s="30" t="n">
        <f aca="false">IF(E23="","",WORKDAY(E23,F23-1))</f>
        <v>46304</v>
      </c>
      <c r="H23" s="45" t="s">
        <v>132</v>
      </c>
      <c r="I23" s="46" t="n">
        <v>0.6</v>
      </c>
      <c r="J23" s="47" t="n">
        <f aca="false">IF(E23="","",IF(AsOf&lt;E23,0,MIN(1,NETWORKDAYS(E23,AsOf)/F23)))</f>
        <v>1</v>
      </c>
      <c r="K23" s="23" t="str">
        <f aca="false">IF(E23="","",IF(I23&gt;=1,"Complete",IF(AsOf&gt;G23,"Late",IF(AsOf&lt;E23,"Not Started",IF(J23-I23&gt;0.15,"At Risk","On Track")))))</f>
        <v>Late</v>
      </c>
      <c r="L23" s="25" t="n">
        <f aca="false">IF(K23="Late",NETWORKDAYS(G23,AsOf)-1,0)</f>
        <v>5</v>
      </c>
      <c r="M23" s="43" t="s">
        <v>173</v>
      </c>
      <c r="N23" s="48" t="str">
        <f aca="false">IF(AND(H23="Y",I23&lt;1,G23&gt;=AsOf,G23&lt;=AsOf+60),G23+ROW()/10000,"")</f>
        <v/>
      </c>
      <c r="O23" s="48" t="str">
        <f aca="false">IF(AND(I23&gt;=1,G23&gt;AsOf-7,G23&lt;=AsOf),G23+ROW()/10000,"")</f>
        <v/>
      </c>
      <c r="P23" s="48" t="n">
        <f aca="false">IF(OR(K23="Late",K23="At Risk"),ROW(),"")</f>
        <v>23</v>
      </c>
      <c r="Q23" s="49"/>
      <c r="R23" s="49"/>
      <c r="S23" s="49"/>
      <c r="T23" s="49"/>
      <c r="U23" s="49"/>
      <c r="V23" s="49"/>
      <c r="W23" s="49"/>
      <c r="X23" s="49"/>
      <c r="Y23" s="49"/>
      <c r="Z23" s="49"/>
      <c r="AA23" s="49"/>
      <c r="AB23" s="49"/>
      <c r="AC23" s="49"/>
      <c r="AD23" s="49"/>
      <c r="AE23" s="49"/>
      <c r="AF23" s="49"/>
      <c r="AG23" s="49"/>
      <c r="AI23" s="0" t="str">
        <f aca="false">IF(OR(B23="",E23=""),"",IF(COUNTIFS($B$6:$B$60,B23,$E$6:$E$60,"&lt;"&amp;E23)=0,B23,""))</f>
        <v>4 IT &amp; Low-Voltage</v>
      </c>
      <c r="AJ23" s="0" t="str">
        <f aca="false">IF(OR(B23="",G23=""),"",IF(COUNTIFS($B$6:$B$60,B23,$G$6:$G$60,"&gt;"&amp;G23)=0,B23,""))</f>
        <v/>
      </c>
    </row>
    <row r="24" customFormat="false" ht="15" hidden="false" customHeight="false" outlineLevel="0" collapsed="false">
      <c r="A24" s="25" t="s">
        <v>174</v>
      </c>
      <c r="B24" s="42" t="s">
        <v>88</v>
      </c>
      <c r="C24" s="43" t="s">
        <v>175</v>
      </c>
      <c r="D24" s="42" t="s">
        <v>172</v>
      </c>
      <c r="E24" s="44" t="n">
        <v>46300</v>
      </c>
      <c r="F24" s="45" t="n">
        <v>10</v>
      </c>
      <c r="G24" s="30" t="n">
        <f aca="false">IF(E24="","",WORKDAY(E24,F24-1))</f>
        <v>46311</v>
      </c>
      <c r="H24" s="45" t="s">
        <v>132</v>
      </c>
      <c r="I24" s="46" t="n">
        <v>0.5</v>
      </c>
      <c r="J24" s="47" t="n">
        <f aca="false">IF(E24="","",IF(AsOf&lt;E24,0,MIN(1,NETWORKDAYS(E24,AsOf)/F24)))</f>
        <v>1</v>
      </c>
      <c r="K24" s="23" t="str">
        <f aca="false">IF(E24="","",IF(I24&gt;=1,"Complete",IF(AsOf&gt;G24,"Late",IF(AsOf&lt;E24,"Not Started",IF(J24-I24&gt;0.15,"At Risk","On Track")))))</f>
        <v>At Risk</v>
      </c>
      <c r="L24" s="25" t="n">
        <f aca="false">IF(K24="Late",NETWORKDAYS(G24,AsOf)-1,0)</f>
        <v>0</v>
      </c>
      <c r="M24" s="43"/>
      <c r="N24" s="48" t="str">
        <f aca="false">IF(AND(H24="Y",I24&lt;1,G24&gt;=AsOf,G24&lt;=AsOf+60),G24+ROW()/10000,"")</f>
        <v/>
      </c>
      <c r="O24" s="48" t="str">
        <f aca="false">IF(AND(I24&gt;=1,G24&gt;AsOf-7,G24&lt;=AsOf),G24+ROW()/10000,"")</f>
        <v/>
      </c>
      <c r="P24" s="48" t="n">
        <f aca="false">IF(OR(K24="Late",K24="At Risk"),ROW(),"")</f>
        <v>24</v>
      </c>
      <c r="Q24" s="49"/>
      <c r="R24" s="49"/>
      <c r="S24" s="49"/>
      <c r="T24" s="49"/>
      <c r="U24" s="49"/>
      <c r="V24" s="49"/>
      <c r="W24" s="49"/>
      <c r="X24" s="49"/>
      <c r="Y24" s="49"/>
      <c r="Z24" s="49"/>
      <c r="AA24" s="49"/>
      <c r="AB24" s="49"/>
      <c r="AC24" s="49"/>
      <c r="AD24" s="49"/>
      <c r="AE24" s="49"/>
      <c r="AF24" s="49"/>
      <c r="AG24" s="49"/>
      <c r="AI24" s="0" t="str">
        <f aca="false">IF(OR(B24="",E24=""),"",IF(COUNTIFS($B$6:$B$60,B24,$E$6:$E$60,"&lt;"&amp;E24)=0,B24,""))</f>
        <v/>
      </c>
      <c r="AJ24" s="0" t="str">
        <f aca="false">IF(OR(B24="",G24=""),"",IF(COUNTIFS($B$6:$B$60,B24,$G$6:$G$60,"&gt;"&amp;G24)=0,B24,""))</f>
        <v/>
      </c>
    </row>
    <row r="25" customFormat="false" ht="15" hidden="false" customHeight="false" outlineLevel="0" collapsed="false">
      <c r="A25" s="25" t="s">
        <v>176</v>
      </c>
      <c r="B25" s="42" t="s">
        <v>88</v>
      </c>
      <c r="C25" s="43" t="s">
        <v>177</v>
      </c>
      <c r="D25" s="42" t="s">
        <v>131</v>
      </c>
      <c r="E25" s="44" t="n">
        <v>46302</v>
      </c>
      <c r="F25" s="45" t="n">
        <v>8</v>
      </c>
      <c r="G25" s="30" t="n">
        <f aca="false">IF(E25="","",WORKDAY(E25,F25-1))</f>
        <v>46311</v>
      </c>
      <c r="H25" s="45" t="s">
        <v>132</v>
      </c>
      <c r="I25" s="46" t="n">
        <v>0.9</v>
      </c>
      <c r="J25" s="47" t="n">
        <f aca="false">IF(E25="","",IF(AsOf&lt;E25,0,MIN(1,NETWORKDAYS(E25,AsOf)/F25)))</f>
        <v>1</v>
      </c>
      <c r="K25" s="23" t="str">
        <f aca="false">IF(E25="","",IF(I25&gt;=1,"Complete",IF(AsOf&gt;G25,"Late",IF(AsOf&lt;E25,"Not Started",IF(J25-I25&gt;0.15,"At Risk","On Track")))))</f>
        <v>On Track</v>
      </c>
      <c r="L25" s="25" t="n">
        <f aca="false">IF(K25="Late",NETWORKDAYS(G25,AsOf)-1,0)</f>
        <v>0</v>
      </c>
      <c r="M25" s="43"/>
      <c r="N25" s="48" t="str">
        <f aca="false">IF(AND(H25="Y",I25&lt;1,G25&gt;=AsOf,G25&lt;=AsOf+60),G25+ROW()/10000,"")</f>
        <v/>
      </c>
      <c r="O25" s="48" t="str">
        <f aca="false">IF(AND(I25&gt;=1,G25&gt;AsOf-7,G25&lt;=AsOf),G25+ROW()/10000,"")</f>
        <v/>
      </c>
      <c r="P25" s="48" t="str">
        <f aca="false">IF(OR(K25="Late",K25="At Risk"),ROW(),"")</f>
        <v/>
      </c>
      <c r="Q25" s="49"/>
      <c r="R25" s="49"/>
      <c r="S25" s="49"/>
      <c r="T25" s="49"/>
      <c r="U25" s="49"/>
      <c r="V25" s="49"/>
      <c r="W25" s="49"/>
      <c r="X25" s="49"/>
      <c r="Y25" s="49"/>
      <c r="Z25" s="49"/>
      <c r="AA25" s="49"/>
      <c r="AB25" s="49"/>
      <c r="AC25" s="49"/>
      <c r="AD25" s="49"/>
      <c r="AE25" s="49"/>
      <c r="AF25" s="49"/>
      <c r="AG25" s="49"/>
      <c r="AI25" s="0" t="str">
        <f aca="false">IF(OR(B25="",E25=""),"",IF(COUNTIFS($B$6:$B$60,B25,$E$6:$E$60,"&lt;"&amp;E25)=0,B25,""))</f>
        <v/>
      </c>
      <c r="AJ25" s="0" t="str">
        <f aca="false">IF(OR(B25="",G25=""),"",IF(COUNTIFS($B$6:$B$60,B25,$G$6:$G$60,"&gt;"&amp;G25)=0,B25,""))</f>
        <v/>
      </c>
    </row>
    <row r="26" customFormat="false" ht="15" hidden="false" customHeight="false" outlineLevel="0" collapsed="false">
      <c r="A26" s="25" t="s">
        <v>178</v>
      </c>
      <c r="B26" s="42" t="s">
        <v>88</v>
      </c>
      <c r="C26" s="43" t="s">
        <v>179</v>
      </c>
      <c r="D26" s="42" t="s">
        <v>180</v>
      </c>
      <c r="E26" s="44" t="n">
        <v>46321</v>
      </c>
      <c r="F26" s="45" t="n">
        <v>6</v>
      </c>
      <c r="G26" s="30" t="n">
        <f aca="false">IF(E26="","",WORKDAY(E26,F26-1))</f>
        <v>46328</v>
      </c>
      <c r="H26" s="45" t="s">
        <v>132</v>
      </c>
      <c r="I26" s="46" t="n">
        <v>0</v>
      </c>
      <c r="J26" s="47" t="n">
        <f aca="false">IF(E26="","",IF(AsOf&lt;E26,0,MIN(1,NETWORKDAYS(E26,AsOf)/F26)))</f>
        <v>0</v>
      </c>
      <c r="K26" s="23" t="str">
        <f aca="false">IF(E26="","",IF(I26&gt;=1,"Complete",IF(AsOf&gt;G26,"Late",IF(AsOf&lt;E26,"Not Started",IF(J26-I26&gt;0.15,"At Risk","On Track")))))</f>
        <v>Not Started</v>
      </c>
      <c r="L26" s="25" t="n">
        <f aca="false">IF(K26="Late",NETWORKDAYS(G26,AsOf)-1,0)</f>
        <v>0</v>
      </c>
      <c r="M26" s="43"/>
      <c r="N26" s="48" t="str">
        <f aca="false">IF(AND(H26="Y",I26&lt;1,G26&gt;=AsOf,G26&lt;=AsOf+60),G26+ROW()/10000,"")</f>
        <v/>
      </c>
      <c r="O26" s="48" t="str">
        <f aca="false">IF(AND(I26&gt;=1,G26&gt;AsOf-7,G26&lt;=AsOf),G26+ROW()/10000,"")</f>
        <v/>
      </c>
      <c r="P26" s="48" t="str">
        <f aca="false">IF(OR(K26="Late",K26="At Risk"),ROW(),"")</f>
        <v/>
      </c>
      <c r="Q26" s="49"/>
      <c r="R26" s="49"/>
      <c r="S26" s="49"/>
      <c r="T26" s="49"/>
      <c r="U26" s="49"/>
      <c r="V26" s="49"/>
      <c r="W26" s="49"/>
      <c r="X26" s="49"/>
      <c r="Y26" s="49"/>
      <c r="Z26" s="49"/>
      <c r="AA26" s="49"/>
      <c r="AB26" s="49"/>
      <c r="AC26" s="49"/>
      <c r="AD26" s="49"/>
      <c r="AE26" s="49"/>
      <c r="AF26" s="49"/>
      <c r="AG26" s="49"/>
      <c r="AI26" s="0" t="str">
        <f aca="false">IF(OR(B26="",E26=""),"",IF(COUNTIFS($B$6:$B$60,B26,$E$6:$E$60,"&lt;"&amp;E26)=0,B26,""))</f>
        <v/>
      </c>
      <c r="AJ26" s="0" t="str">
        <f aca="false">IF(OR(B26="",G26=""),"",IF(COUNTIFS($B$6:$B$60,B26,$G$6:$G$60,"&gt;"&amp;G26)=0,B26,""))</f>
        <v/>
      </c>
    </row>
    <row r="27" customFormat="false" ht="15" hidden="false" customHeight="false" outlineLevel="0" collapsed="false">
      <c r="A27" s="25" t="s">
        <v>181</v>
      </c>
      <c r="B27" s="42" t="s">
        <v>88</v>
      </c>
      <c r="C27" s="43" t="s">
        <v>182</v>
      </c>
      <c r="D27" s="42" t="s">
        <v>172</v>
      </c>
      <c r="E27" s="44" t="n">
        <v>46349</v>
      </c>
      <c r="F27" s="45" t="n">
        <v>4</v>
      </c>
      <c r="G27" s="30" t="n">
        <f aca="false">IF(E27="","",WORKDAY(E27,F27-1))</f>
        <v>46352</v>
      </c>
      <c r="H27" s="45" t="s">
        <v>132</v>
      </c>
      <c r="I27" s="46" t="n">
        <v>0</v>
      </c>
      <c r="J27" s="47" t="n">
        <f aca="false">IF(E27="","",IF(AsOf&lt;E27,0,MIN(1,NETWORKDAYS(E27,AsOf)/F27)))</f>
        <v>0</v>
      </c>
      <c r="K27" s="23" t="str">
        <f aca="false">IF(E27="","",IF(I27&gt;=1,"Complete",IF(AsOf&gt;G27,"Late",IF(AsOf&lt;E27,"Not Started",IF(J27-I27&gt;0.15,"At Risk","On Track")))))</f>
        <v>Not Started</v>
      </c>
      <c r="L27" s="25" t="n">
        <f aca="false">IF(K27="Late",NETWORKDAYS(G27,AsOf)-1,0)</f>
        <v>0</v>
      </c>
      <c r="M27" s="43"/>
      <c r="N27" s="48" t="str">
        <f aca="false">IF(AND(H27="Y",I27&lt;1,G27&gt;=AsOf,G27&lt;=AsOf+60),G27+ROW()/10000,"")</f>
        <v/>
      </c>
      <c r="O27" s="48" t="str">
        <f aca="false">IF(AND(I27&gt;=1,G27&gt;AsOf-7,G27&lt;=AsOf),G27+ROW()/10000,"")</f>
        <v/>
      </c>
      <c r="P27" s="48" t="str">
        <f aca="false">IF(OR(K27="Late",K27="At Risk"),ROW(),"")</f>
        <v/>
      </c>
      <c r="Q27" s="49"/>
      <c r="R27" s="49"/>
      <c r="S27" s="49"/>
      <c r="T27" s="49"/>
      <c r="U27" s="49"/>
      <c r="V27" s="49"/>
      <c r="W27" s="49"/>
      <c r="X27" s="49"/>
      <c r="Y27" s="49"/>
      <c r="Z27" s="49"/>
      <c r="AA27" s="49"/>
      <c r="AB27" s="49"/>
      <c r="AC27" s="49"/>
      <c r="AD27" s="49"/>
      <c r="AE27" s="49"/>
      <c r="AF27" s="49"/>
      <c r="AG27" s="49"/>
      <c r="AI27" s="0" t="str">
        <f aca="false">IF(OR(B27="",E27=""),"",IF(COUNTIFS($B$6:$B$60,B27,$E$6:$E$60,"&lt;"&amp;E27)=0,B27,""))</f>
        <v/>
      </c>
      <c r="AJ27" s="0" t="str">
        <f aca="false">IF(OR(B27="",G27=""),"",IF(COUNTIFS($B$6:$B$60,B27,$G$6:$G$60,"&gt;"&amp;G27)=0,B27,""))</f>
        <v/>
      </c>
    </row>
    <row r="28" customFormat="false" ht="15" hidden="false" customHeight="false" outlineLevel="0" collapsed="false">
      <c r="A28" s="25" t="s">
        <v>183</v>
      </c>
      <c r="B28" s="42" t="s">
        <v>88</v>
      </c>
      <c r="C28" s="43" t="s">
        <v>184</v>
      </c>
      <c r="D28" s="42" t="s">
        <v>172</v>
      </c>
      <c r="E28" s="44" t="n">
        <v>46357</v>
      </c>
      <c r="F28" s="45" t="n">
        <v>3</v>
      </c>
      <c r="G28" s="30" t="n">
        <f aca="false">IF(E28="","",WORKDAY(E28,F28-1))</f>
        <v>46359</v>
      </c>
      <c r="H28" s="45" t="s">
        <v>128</v>
      </c>
      <c r="I28" s="46" t="n">
        <v>0</v>
      </c>
      <c r="J28" s="47" t="n">
        <f aca="false">IF(E28="","",IF(AsOf&lt;E28,0,MIN(1,NETWORKDAYS(E28,AsOf)/F28)))</f>
        <v>0</v>
      </c>
      <c r="K28" s="23" t="str">
        <f aca="false">IF(E28="","",IF(I28&gt;=1,"Complete",IF(AsOf&gt;G28,"Late",IF(AsOf&lt;E28,"Not Started",IF(J28-I28&gt;0.15,"At Risk","On Track")))))</f>
        <v>Not Started</v>
      </c>
      <c r="L28" s="25" t="n">
        <f aca="false">IF(K28="Late",NETWORKDAYS(G28,AsOf)-1,0)</f>
        <v>0</v>
      </c>
      <c r="M28" s="43"/>
      <c r="N28" s="50" t="n">
        <f aca="false">IF(AND(H28="Y",I28&lt;1,G28&gt;=AsOf,G28&lt;=AsOf+60),G28+ROW()/10000,"")</f>
        <v>46359.0028</v>
      </c>
      <c r="O28" s="48" t="str">
        <f aca="false">IF(AND(I28&gt;=1,G28&gt;AsOf-7,G28&lt;=AsOf),G28+ROW()/10000,"")</f>
        <v/>
      </c>
      <c r="P28" s="48" t="str">
        <f aca="false">IF(OR(K28="Late",K28="At Risk"),ROW(),"")</f>
        <v/>
      </c>
      <c r="Q28" s="49"/>
      <c r="R28" s="49"/>
      <c r="S28" s="49"/>
      <c r="T28" s="49"/>
      <c r="U28" s="49"/>
      <c r="V28" s="49"/>
      <c r="W28" s="49"/>
      <c r="X28" s="49"/>
      <c r="Y28" s="49"/>
      <c r="Z28" s="49"/>
      <c r="AA28" s="49"/>
      <c r="AB28" s="49"/>
      <c r="AC28" s="49"/>
      <c r="AD28" s="49"/>
      <c r="AE28" s="49"/>
      <c r="AF28" s="49"/>
      <c r="AG28" s="49"/>
      <c r="AI28" s="0" t="str">
        <f aca="false">IF(OR(B28="",E28=""),"",IF(COUNTIFS($B$6:$B$60,B28,$E$6:$E$60,"&lt;"&amp;E28)=0,B28,""))</f>
        <v/>
      </c>
      <c r="AJ28" s="0" t="str">
        <f aca="false">IF(OR(B28="",G28=""),"",IF(COUNTIFS($B$6:$B$60,B28,$G$6:$G$60,"&gt;"&amp;G28)=0,B28,""))</f>
        <v>4 IT &amp; Low-Voltage</v>
      </c>
    </row>
    <row r="29" customFormat="false" ht="23.85" hidden="false" customHeight="false" outlineLevel="0" collapsed="false">
      <c r="A29" s="25" t="s">
        <v>185</v>
      </c>
      <c r="B29" s="42" t="s">
        <v>89</v>
      </c>
      <c r="C29" s="43" t="s">
        <v>186</v>
      </c>
      <c r="D29" s="42" t="s">
        <v>131</v>
      </c>
      <c r="E29" s="44" t="n">
        <v>46293</v>
      </c>
      <c r="F29" s="45" t="n">
        <v>10</v>
      </c>
      <c r="G29" s="30" t="n">
        <f aca="false">IF(E29="","",WORKDAY(E29,F29-1))</f>
        <v>46304</v>
      </c>
      <c r="H29" s="45" t="s">
        <v>132</v>
      </c>
      <c r="I29" s="46" t="n">
        <v>0.8</v>
      </c>
      <c r="J29" s="47" t="n">
        <f aca="false">IF(E29="","",IF(AsOf&lt;E29,0,MIN(1,NETWORKDAYS(E29,AsOf)/F29)))</f>
        <v>1</v>
      </c>
      <c r="K29" s="23" t="str">
        <f aca="false">IF(E29="","",IF(I29&gt;=1,"Complete",IF(AsOf&gt;G29,"Late",IF(AsOf&lt;E29,"Not Started",IF(J29-I29&gt;0.15,"At Risk","On Track")))))</f>
        <v>Late</v>
      </c>
      <c r="L29" s="25" t="n">
        <f aca="false">IF(K29="Late",NETWORKDAYS(G29,AsOf)-1,0)</f>
        <v>5</v>
      </c>
      <c r="M29" s="43" t="s">
        <v>187</v>
      </c>
      <c r="N29" s="48" t="str">
        <f aca="false">IF(AND(H29="Y",I29&lt;1,G29&gt;=AsOf,G29&lt;=AsOf+60),G29+ROW()/10000,"")</f>
        <v/>
      </c>
      <c r="O29" s="48" t="str">
        <f aca="false">IF(AND(I29&gt;=1,G29&gt;AsOf-7,G29&lt;=AsOf),G29+ROW()/10000,"")</f>
        <v/>
      </c>
      <c r="P29" s="48" t="n">
        <f aca="false">IF(OR(K29="Late",K29="At Risk"),ROW(),"")</f>
        <v>29</v>
      </c>
      <c r="Q29" s="49"/>
      <c r="R29" s="49"/>
      <c r="S29" s="49"/>
      <c r="T29" s="49"/>
      <c r="U29" s="49"/>
      <c r="V29" s="49"/>
      <c r="W29" s="49"/>
      <c r="X29" s="49"/>
      <c r="Y29" s="49"/>
      <c r="Z29" s="49"/>
      <c r="AA29" s="49"/>
      <c r="AB29" s="49"/>
      <c r="AC29" s="49"/>
      <c r="AD29" s="49"/>
      <c r="AE29" s="49"/>
      <c r="AF29" s="49"/>
      <c r="AG29" s="49"/>
      <c r="AI29" s="0" t="str">
        <f aca="false">IF(OR(B29="",E29=""),"",IF(COUNTIFS($B$6:$B$60,B29,$E$6:$E$60,"&lt;"&amp;E29)=0,B29,""))</f>
        <v>5 Furniture &amp; Move</v>
      </c>
      <c r="AJ29" s="0" t="str">
        <f aca="false">IF(OR(B29="",G29=""),"",IF(COUNTIFS($B$6:$B$60,B29,$G$6:$G$60,"&gt;"&amp;G29)=0,B29,""))</f>
        <v/>
      </c>
    </row>
    <row r="30" customFormat="false" ht="15" hidden="false" customHeight="false" outlineLevel="0" collapsed="false">
      <c r="A30" s="25" t="s">
        <v>188</v>
      </c>
      <c r="B30" s="42" t="s">
        <v>89</v>
      </c>
      <c r="C30" s="43" t="s">
        <v>189</v>
      </c>
      <c r="D30" s="42" t="s">
        <v>131</v>
      </c>
      <c r="E30" s="44" t="n">
        <v>46307</v>
      </c>
      <c r="F30" s="45" t="n">
        <v>5</v>
      </c>
      <c r="G30" s="30" t="n">
        <f aca="false">IF(E30="","",WORKDAY(E30,F30-1))</f>
        <v>46311</v>
      </c>
      <c r="H30" s="45" t="s">
        <v>132</v>
      </c>
      <c r="I30" s="46" t="n">
        <v>0.6</v>
      </c>
      <c r="J30" s="47" t="n">
        <f aca="false">IF(E30="","",IF(AsOf&lt;E30,0,MIN(1,NETWORKDAYS(E30,AsOf)/F30)))</f>
        <v>1</v>
      </c>
      <c r="K30" s="23" t="str">
        <f aca="false">IF(E30="","",IF(I30&gt;=1,"Complete",IF(AsOf&gt;G30,"Late",IF(AsOf&lt;E30,"Not Started",IF(J30-I30&gt;0.15,"At Risk","On Track")))))</f>
        <v>At Risk</v>
      </c>
      <c r="L30" s="25" t="n">
        <f aca="false">IF(K30="Late",NETWORKDAYS(G30,AsOf)-1,0)</f>
        <v>0</v>
      </c>
      <c r="M30" s="43" t="s">
        <v>190</v>
      </c>
      <c r="N30" s="48" t="str">
        <f aca="false">IF(AND(H30="Y",I30&lt;1,G30&gt;=AsOf,G30&lt;=AsOf+60),G30+ROW()/10000,"")</f>
        <v/>
      </c>
      <c r="O30" s="48" t="str">
        <f aca="false">IF(AND(I30&gt;=1,G30&gt;AsOf-7,G30&lt;=AsOf),G30+ROW()/10000,"")</f>
        <v/>
      </c>
      <c r="P30" s="48" t="n">
        <f aca="false">IF(OR(K30="Late",K30="At Risk"),ROW(),"")</f>
        <v>30</v>
      </c>
      <c r="Q30" s="49"/>
      <c r="R30" s="49"/>
      <c r="S30" s="49"/>
      <c r="T30" s="49"/>
      <c r="U30" s="49"/>
      <c r="V30" s="49"/>
      <c r="W30" s="49"/>
      <c r="X30" s="49"/>
      <c r="Y30" s="49"/>
      <c r="Z30" s="49"/>
      <c r="AA30" s="49"/>
      <c r="AB30" s="49"/>
      <c r="AC30" s="49"/>
      <c r="AD30" s="49"/>
      <c r="AE30" s="49"/>
      <c r="AF30" s="49"/>
      <c r="AG30" s="49"/>
      <c r="AI30" s="0" t="str">
        <f aca="false">IF(OR(B30="",E30=""),"",IF(COUNTIFS($B$6:$B$60,B30,$E$6:$E$60,"&lt;"&amp;E30)=0,B30,""))</f>
        <v/>
      </c>
      <c r="AJ30" s="0" t="str">
        <f aca="false">IF(OR(B30="",G30=""),"",IF(COUNTIFS($B$6:$B$60,B30,$G$6:$G$60,"&gt;"&amp;G30)=0,B30,""))</f>
        <v/>
      </c>
    </row>
    <row r="31" customFormat="false" ht="15" hidden="false" customHeight="false" outlineLevel="0" collapsed="false">
      <c r="A31" s="25" t="s">
        <v>191</v>
      </c>
      <c r="B31" s="42" t="s">
        <v>89</v>
      </c>
      <c r="C31" s="43" t="s">
        <v>192</v>
      </c>
      <c r="D31" s="42" t="s">
        <v>131</v>
      </c>
      <c r="E31" s="44" t="n">
        <v>46356</v>
      </c>
      <c r="F31" s="45" t="n">
        <v>5</v>
      </c>
      <c r="G31" s="30" t="n">
        <f aca="false">IF(E31="","",WORKDAY(E31,F31-1))</f>
        <v>46360</v>
      </c>
      <c r="H31" s="45" t="s">
        <v>132</v>
      </c>
      <c r="I31" s="46" t="n">
        <v>0</v>
      </c>
      <c r="J31" s="47" t="n">
        <f aca="false">IF(E31="","",IF(AsOf&lt;E31,0,MIN(1,NETWORKDAYS(E31,AsOf)/F31)))</f>
        <v>0</v>
      </c>
      <c r="K31" s="23" t="str">
        <f aca="false">IF(E31="","",IF(I31&gt;=1,"Complete",IF(AsOf&gt;G31,"Late",IF(AsOf&lt;E31,"Not Started",IF(J31-I31&gt;0.15,"At Risk","On Track")))))</f>
        <v>Not Started</v>
      </c>
      <c r="L31" s="25" t="n">
        <f aca="false">IF(K31="Late",NETWORKDAYS(G31,AsOf)-1,0)</f>
        <v>0</v>
      </c>
      <c r="M31" s="43"/>
      <c r="N31" s="48" t="str">
        <f aca="false">IF(AND(H31="Y",I31&lt;1,G31&gt;=AsOf,G31&lt;=AsOf+60),G31+ROW()/10000,"")</f>
        <v/>
      </c>
      <c r="O31" s="48" t="str">
        <f aca="false">IF(AND(I31&gt;=1,G31&gt;AsOf-7,G31&lt;=AsOf),G31+ROW()/10000,"")</f>
        <v/>
      </c>
      <c r="P31" s="48" t="str">
        <f aca="false">IF(OR(K31="Late",K31="At Risk"),ROW(),"")</f>
        <v/>
      </c>
      <c r="Q31" s="49"/>
      <c r="R31" s="49"/>
      <c r="S31" s="49"/>
      <c r="T31" s="49"/>
      <c r="U31" s="49"/>
      <c r="V31" s="49"/>
      <c r="W31" s="49"/>
      <c r="X31" s="49"/>
      <c r="Y31" s="49"/>
      <c r="Z31" s="49"/>
      <c r="AA31" s="49"/>
      <c r="AB31" s="49"/>
      <c r="AC31" s="49"/>
      <c r="AD31" s="49"/>
      <c r="AE31" s="49"/>
      <c r="AF31" s="49"/>
      <c r="AG31" s="49"/>
      <c r="AI31" s="0" t="str">
        <f aca="false">IF(OR(B31="",E31=""),"",IF(COUNTIFS($B$6:$B$60,B31,$E$6:$E$60,"&lt;"&amp;E31)=0,B31,""))</f>
        <v/>
      </c>
      <c r="AJ31" s="0" t="str">
        <f aca="false">IF(OR(B31="",G31=""),"",IF(COUNTIFS($B$6:$B$60,B31,$G$6:$G$60,"&gt;"&amp;G31)=0,B31,""))</f>
        <v/>
      </c>
    </row>
    <row r="32" customFormat="false" ht="15" hidden="false" customHeight="false" outlineLevel="0" collapsed="false">
      <c r="A32" s="25" t="s">
        <v>193</v>
      </c>
      <c r="B32" s="42" t="s">
        <v>89</v>
      </c>
      <c r="C32" s="43" t="s">
        <v>194</v>
      </c>
      <c r="D32" s="42" t="s">
        <v>195</v>
      </c>
      <c r="E32" s="44" t="n">
        <v>46359</v>
      </c>
      <c r="F32" s="45" t="n">
        <v>4</v>
      </c>
      <c r="G32" s="30" t="n">
        <f aca="false">IF(E32="","",WORKDAY(E32,F32-1))</f>
        <v>46364</v>
      </c>
      <c r="H32" s="45" t="s">
        <v>132</v>
      </c>
      <c r="I32" s="46" t="n">
        <v>0</v>
      </c>
      <c r="J32" s="47" t="n">
        <f aca="false">IF(E32="","",IF(AsOf&lt;E32,0,MIN(1,NETWORKDAYS(E32,AsOf)/F32)))</f>
        <v>0</v>
      </c>
      <c r="K32" s="23" t="str">
        <f aca="false">IF(E32="","",IF(I32&gt;=1,"Complete",IF(AsOf&gt;G32,"Late",IF(AsOf&lt;E32,"Not Started",IF(J32-I32&gt;0.15,"At Risk","On Track")))))</f>
        <v>Not Started</v>
      </c>
      <c r="L32" s="25" t="n">
        <f aca="false">IF(K32="Late",NETWORKDAYS(G32,AsOf)-1,0)</f>
        <v>0</v>
      </c>
      <c r="M32" s="43"/>
      <c r="N32" s="48" t="str">
        <f aca="false">IF(AND(H32="Y",I32&lt;1,G32&gt;=AsOf,G32&lt;=AsOf+60),G32+ROW()/10000,"")</f>
        <v/>
      </c>
      <c r="O32" s="48" t="str">
        <f aca="false">IF(AND(I32&gt;=1,G32&gt;AsOf-7,G32&lt;=AsOf),G32+ROW()/10000,"")</f>
        <v/>
      </c>
      <c r="P32" s="48" t="str">
        <f aca="false">IF(OR(K32="Late",K32="At Risk"),ROW(),"")</f>
        <v/>
      </c>
      <c r="Q32" s="49"/>
      <c r="R32" s="49"/>
      <c r="S32" s="49"/>
      <c r="T32" s="49"/>
      <c r="U32" s="49"/>
      <c r="V32" s="49"/>
      <c r="W32" s="49"/>
      <c r="X32" s="49"/>
      <c r="Y32" s="49"/>
      <c r="Z32" s="49"/>
      <c r="AA32" s="49"/>
      <c r="AB32" s="49"/>
      <c r="AC32" s="49"/>
      <c r="AD32" s="49"/>
      <c r="AE32" s="49"/>
      <c r="AF32" s="49"/>
      <c r="AG32" s="49"/>
      <c r="AI32" s="0" t="str">
        <f aca="false">IF(OR(B32="",E32=""),"",IF(COUNTIFS($B$6:$B$60,B32,$E$6:$E$60,"&lt;"&amp;E32)=0,B32,""))</f>
        <v/>
      </c>
      <c r="AJ32" s="0" t="str">
        <f aca="false">IF(OR(B32="",G32=""),"",IF(COUNTIFS($B$6:$B$60,B32,$G$6:$G$60,"&gt;"&amp;G32)=0,B32,""))</f>
        <v/>
      </c>
    </row>
    <row r="33" customFormat="false" ht="15" hidden="false" customHeight="false" outlineLevel="0" collapsed="false">
      <c r="A33" s="25" t="s">
        <v>196</v>
      </c>
      <c r="B33" s="42" t="s">
        <v>89</v>
      </c>
      <c r="C33" s="43" t="s">
        <v>197</v>
      </c>
      <c r="D33" s="42" t="s">
        <v>198</v>
      </c>
      <c r="E33" s="44" t="n">
        <v>46367</v>
      </c>
      <c r="F33" s="45" t="n">
        <v>2</v>
      </c>
      <c r="G33" s="30" t="n">
        <f aca="false">IF(E33="","",WORKDAY(E33,F33-1))</f>
        <v>46370</v>
      </c>
      <c r="H33" s="45" t="s">
        <v>128</v>
      </c>
      <c r="I33" s="46" t="n">
        <v>0</v>
      </c>
      <c r="J33" s="47" t="n">
        <f aca="false">IF(E33="","",IF(AsOf&lt;E33,0,MIN(1,NETWORKDAYS(E33,AsOf)/F33)))</f>
        <v>0</v>
      </c>
      <c r="K33" s="23" t="str">
        <f aca="false">IF(E33="","",IF(I33&gt;=1,"Complete",IF(AsOf&gt;G33,"Late",IF(AsOf&lt;E33,"Not Started",IF(J33-I33&gt;0.15,"At Risk","On Track")))))</f>
        <v>Not Started</v>
      </c>
      <c r="L33" s="25" t="n">
        <f aca="false">IF(K33="Late",NETWORKDAYS(G33,AsOf)-1,0)</f>
        <v>0</v>
      </c>
      <c r="M33" s="43" t="s">
        <v>199</v>
      </c>
      <c r="N33" s="50" t="n">
        <f aca="false">IF(AND(H33="Y",I33&lt;1,G33&gt;=AsOf,G33&lt;=AsOf+60),G33+ROW()/10000,"")</f>
        <v>46370.0033</v>
      </c>
      <c r="O33" s="48" t="str">
        <f aca="false">IF(AND(I33&gt;=1,G33&gt;AsOf-7,G33&lt;=AsOf),G33+ROW()/10000,"")</f>
        <v/>
      </c>
      <c r="P33" s="48" t="str">
        <f aca="false">IF(OR(K33="Late",K33="At Risk"),ROW(),"")</f>
        <v/>
      </c>
      <c r="Q33" s="49"/>
      <c r="R33" s="49"/>
      <c r="S33" s="49"/>
      <c r="T33" s="49"/>
      <c r="U33" s="49"/>
      <c r="V33" s="49"/>
      <c r="W33" s="49"/>
      <c r="X33" s="49"/>
      <c r="Y33" s="49"/>
      <c r="Z33" s="49"/>
      <c r="AA33" s="49"/>
      <c r="AB33" s="49"/>
      <c r="AC33" s="49"/>
      <c r="AD33" s="49"/>
      <c r="AE33" s="49"/>
      <c r="AF33" s="49"/>
      <c r="AG33" s="49"/>
      <c r="AI33" s="0" t="str">
        <f aca="false">IF(OR(B33="",E33=""),"",IF(COUNTIFS($B$6:$B$60,B33,$E$6:$E$60,"&lt;"&amp;E33)=0,B33,""))</f>
        <v/>
      </c>
      <c r="AJ33" s="0" t="str">
        <f aca="false">IF(OR(B33="",G33=""),"",IF(COUNTIFS($B$6:$B$60,B33,$G$6:$G$60,"&gt;"&amp;G33)=0,B33,""))</f>
        <v/>
      </c>
    </row>
    <row r="34" customFormat="false" ht="15" hidden="false" customHeight="false" outlineLevel="0" collapsed="false">
      <c r="A34" s="25" t="s">
        <v>200</v>
      </c>
      <c r="B34" s="42" t="s">
        <v>89</v>
      </c>
      <c r="C34" s="43" t="s">
        <v>201</v>
      </c>
      <c r="D34" s="42" t="s">
        <v>172</v>
      </c>
      <c r="E34" s="44" t="n">
        <v>46370</v>
      </c>
      <c r="F34" s="45" t="n">
        <v>3</v>
      </c>
      <c r="G34" s="30" t="n">
        <f aca="false">IF(E34="","",WORKDAY(E34,F34-1))</f>
        <v>46372</v>
      </c>
      <c r="H34" s="45" t="s">
        <v>132</v>
      </c>
      <c r="I34" s="46" t="n">
        <v>0</v>
      </c>
      <c r="J34" s="47" t="n">
        <f aca="false">IF(E34="","",IF(AsOf&lt;E34,0,MIN(1,NETWORKDAYS(E34,AsOf)/F34)))</f>
        <v>0</v>
      </c>
      <c r="K34" s="23" t="str">
        <f aca="false">IF(E34="","",IF(I34&gt;=1,"Complete",IF(AsOf&gt;G34,"Late",IF(AsOf&lt;E34,"Not Started",IF(J34-I34&gt;0.15,"At Risk","On Track")))))</f>
        <v>Not Started</v>
      </c>
      <c r="L34" s="25" t="n">
        <f aca="false">IF(K34="Late",NETWORKDAYS(G34,AsOf)-1,0)</f>
        <v>0</v>
      </c>
      <c r="M34" s="43"/>
      <c r="N34" s="48" t="str">
        <f aca="false">IF(AND(H34="Y",I34&lt;1,G34&gt;=AsOf,G34&lt;=AsOf+60),G34+ROW()/10000,"")</f>
        <v/>
      </c>
      <c r="O34" s="48" t="str">
        <f aca="false">IF(AND(I34&gt;=1,G34&gt;AsOf-7,G34&lt;=AsOf),G34+ROW()/10000,"")</f>
        <v/>
      </c>
      <c r="P34" s="48" t="str">
        <f aca="false">IF(OR(K34="Late",K34="At Risk"),ROW(),"")</f>
        <v/>
      </c>
      <c r="Q34" s="49"/>
      <c r="R34" s="49"/>
      <c r="S34" s="49"/>
      <c r="T34" s="49"/>
      <c r="U34" s="49"/>
      <c r="V34" s="49"/>
      <c r="W34" s="49"/>
      <c r="X34" s="49"/>
      <c r="Y34" s="49"/>
      <c r="Z34" s="49"/>
      <c r="AA34" s="49"/>
      <c r="AB34" s="49"/>
      <c r="AC34" s="49"/>
      <c r="AD34" s="49"/>
      <c r="AE34" s="49"/>
      <c r="AF34" s="49"/>
      <c r="AG34" s="49"/>
      <c r="AI34" s="0" t="str">
        <f aca="false">IF(OR(B34="",E34=""),"",IF(COUNTIFS($B$6:$B$60,B34,$E$6:$E$60,"&lt;"&amp;E34)=0,B34,""))</f>
        <v/>
      </c>
      <c r="AJ34" s="0" t="str">
        <f aca="false">IF(OR(B34="",G34=""),"",IF(COUNTIFS($B$6:$B$60,B34,$G$6:$G$60,"&gt;"&amp;G34)=0,B34,""))</f>
        <v>5 Furniture &amp; Move</v>
      </c>
    </row>
    <row r="35" customFormat="false" ht="15" hidden="false" customHeight="false" outlineLevel="0" collapsed="false">
      <c r="A35" s="25" t="s">
        <v>202</v>
      </c>
      <c r="B35" s="42" t="s">
        <v>90</v>
      </c>
      <c r="C35" s="43" t="s">
        <v>203</v>
      </c>
      <c r="D35" s="42" t="s">
        <v>131</v>
      </c>
      <c r="E35" s="44" t="n">
        <v>46371</v>
      </c>
      <c r="F35" s="45" t="n">
        <v>5</v>
      </c>
      <c r="G35" s="30" t="n">
        <f aca="false">IF(E35="","",WORKDAY(E35,F35-1))</f>
        <v>46377</v>
      </c>
      <c r="H35" s="45" t="s">
        <v>132</v>
      </c>
      <c r="I35" s="46" t="n">
        <v>0</v>
      </c>
      <c r="J35" s="47" t="n">
        <f aca="false">IF(E35="","",IF(AsOf&lt;E35,0,MIN(1,NETWORKDAYS(E35,AsOf)/F35)))</f>
        <v>0</v>
      </c>
      <c r="K35" s="23" t="str">
        <f aca="false">IF(E35="","",IF(I35&gt;=1,"Complete",IF(AsOf&gt;G35,"Late",IF(AsOf&lt;E35,"Not Started",IF(J35-I35&gt;0.15,"At Risk","On Track")))))</f>
        <v>Not Started</v>
      </c>
      <c r="L35" s="25" t="n">
        <f aca="false">IF(K35="Late",NETWORKDAYS(G35,AsOf)-1,0)</f>
        <v>0</v>
      </c>
      <c r="M35" s="43"/>
      <c r="N35" s="48" t="str">
        <f aca="false">IF(AND(H35="Y",I35&lt;1,G35&gt;=AsOf,G35&lt;=AsOf+60),G35+ROW()/10000,"")</f>
        <v/>
      </c>
      <c r="O35" s="48" t="str">
        <f aca="false">IF(AND(I35&gt;=1,G35&gt;AsOf-7,G35&lt;=AsOf),G35+ROW()/10000,"")</f>
        <v/>
      </c>
      <c r="P35" s="48" t="str">
        <f aca="false">IF(OR(K35="Late",K35="At Risk"),ROW(),"")</f>
        <v/>
      </c>
      <c r="Q35" s="49"/>
      <c r="R35" s="49"/>
      <c r="S35" s="49"/>
      <c r="T35" s="49"/>
      <c r="U35" s="49"/>
      <c r="V35" s="49"/>
      <c r="W35" s="49"/>
      <c r="X35" s="49"/>
      <c r="Y35" s="49"/>
      <c r="Z35" s="49"/>
      <c r="AA35" s="49"/>
      <c r="AB35" s="49"/>
      <c r="AC35" s="49"/>
      <c r="AD35" s="49"/>
      <c r="AE35" s="49"/>
      <c r="AF35" s="49"/>
      <c r="AG35" s="49"/>
      <c r="AI35" s="0" t="str">
        <f aca="false">IF(OR(B35="",E35=""),"",IF(COUNTIFS($B$6:$B$60,B35,$E$6:$E$60,"&lt;"&amp;E35)=0,B35,""))</f>
        <v>6 Closeout</v>
      </c>
      <c r="AJ35" s="0" t="str">
        <f aca="false">IF(OR(B35="",G35=""),"",IF(COUNTIFS($B$6:$B$60,B35,$G$6:$G$60,"&gt;"&amp;G35)=0,B35,""))</f>
        <v/>
      </c>
    </row>
    <row r="36" customFormat="false" ht="15" hidden="false" customHeight="false" outlineLevel="0" collapsed="false">
      <c r="A36" s="25" t="s">
        <v>204</v>
      </c>
      <c r="B36" s="42" t="s">
        <v>90</v>
      </c>
      <c r="C36" s="43" t="s">
        <v>205</v>
      </c>
      <c r="D36" s="42" t="s">
        <v>131</v>
      </c>
      <c r="E36" s="44" t="n">
        <v>46377</v>
      </c>
      <c r="F36" s="45" t="n">
        <v>3</v>
      </c>
      <c r="G36" s="30" t="n">
        <f aca="false">IF(E36="","",WORKDAY(E36,F36-1))</f>
        <v>46379</v>
      </c>
      <c r="H36" s="45" t="s">
        <v>128</v>
      </c>
      <c r="I36" s="46" t="n">
        <v>0</v>
      </c>
      <c r="J36" s="47" t="n">
        <f aca="false">IF(E36="","",IF(AsOf&lt;E36,0,MIN(1,NETWORKDAYS(E36,AsOf)/F36)))</f>
        <v>0</v>
      </c>
      <c r="K36" s="23" t="str">
        <f aca="false">IF(E36="","",IF(I36&gt;=1,"Complete",IF(AsOf&gt;G36,"Late",IF(AsOf&lt;E36,"Not Started",IF(J36-I36&gt;0.15,"At Risk","On Track")))))</f>
        <v>Not Started</v>
      </c>
      <c r="L36" s="25" t="n">
        <f aca="false">IF(K36="Late",NETWORKDAYS(G36,AsOf)-1,0)</f>
        <v>0</v>
      </c>
      <c r="M36" s="43"/>
      <c r="N36" s="48" t="str">
        <f aca="false">IF(AND(H36="Y",I36&lt;1,G36&gt;=AsOf,G36&lt;=AsOf+60),G36+ROW()/10000,"")</f>
        <v/>
      </c>
      <c r="O36" s="48" t="str">
        <f aca="false">IF(AND(I36&gt;=1,G36&gt;AsOf-7,G36&lt;=AsOf),G36+ROW()/10000,"")</f>
        <v/>
      </c>
      <c r="P36" s="48" t="str">
        <f aca="false">IF(OR(K36="Late",K36="At Risk"),ROW(),"")</f>
        <v/>
      </c>
      <c r="Q36" s="49"/>
      <c r="R36" s="49"/>
      <c r="S36" s="49"/>
      <c r="T36" s="49"/>
      <c r="U36" s="49"/>
      <c r="V36" s="49"/>
      <c r="W36" s="49"/>
      <c r="X36" s="49"/>
      <c r="Y36" s="49"/>
      <c r="Z36" s="49"/>
      <c r="AA36" s="49"/>
      <c r="AB36" s="49"/>
      <c r="AC36" s="49"/>
      <c r="AD36" s="49"/>
      <c r="AE36" s="49"/>
      <c r="AF36" s="49"/>
      <c r="AG36" s="49"/>
      <c r="AI36" s="0" t="str">
        <f aca="false">IF(OR(B36="",E36=""),"",IF(COUNTIFS($B$6:$B$60,B36,$E$6:$E$60,"&lt;"&amp;E36)=0,B36,""))</f>
        <v/>
      </c>
      <c r="AJ36" s="0" t="str">
        <f aca="false">IF(OR(B36="",G36=""),"",IF(COUNTIFS($B$6:$B$60,B36,$G$6:$G$60,"&gt;"&amp;G36)=0,B36,""))</f>
        <v>6 Closeout</v>
      </c>
    </row>
    <row r="37" customFormat="false" ht="15" hidden="false" customHeight="false" outlineLevel="0" collapsed="false">
      <c r="A37" s="25"/>
      <c r="B37" s="42"/>
      <c r="C37" s="43"/>
      <c r="D37" s="42"/>
      <c r="E37" s="44"/>
      <c r="F37" s="45"/>
      <c r="G37" s="30" t="str">
        <f aca="false">IF(E37="","",WORKDAY(E37,F37-1))</f>
        <v/>
      </c>
      <c r="H37" s="45"/>
      <c r="I37" s="46"/>
      <c r="J37" s="47" t="str">
        <f aca="false">IF(E37="","",IF(AsOf&lt;E37,0,MIN(1,NETWORKDAYS(E37,AsOf)/F37)))</f>
        <v/>
      </c>
      <c r="K37" s="23" t="str">
        <f aca="false">IF(E37="","",IF(I37&gt;=1,"Complete",IF(AsOf&gt;G37,"Late",IF(AsOf&lt;E37,"Not Started",IF(J37-I37&gt;0.15,"At Risk","On Track")))))</f>
        <v/>
      </c>
      <c r="L37" s="25" t="n">
        <f aca="false">IF(K37="Late",NETWORKDAYS(G37,AsOf)-1,0)</f>
        <v>0</v>
      </c>
      <c r="M37" s="43"/>
      <c r="N37" s="48" t="str">
        <f aca="false">IF(AND(H37="Y",I37&lt;1,G37&gt;=AsOf,G37&lt;=AsOf+60),G37+ROW()/10000,"")</f>
        <v/>
      </c>
      <c r="O37" s="48" t="str">
        <f aca="false">IF(AND(I37&gt;=1,G37&gt;AsOf-7,G37&lt;=AsOf),G37+ROW()/10000,"")</f>
        <v/>
      </c>
      <c r="P37" s="48" t="str">
        <f aca="false">IF(OR(K37="Late",K37="At Risk"),ROW(),"")</f>
        <v/>
      </c>
      <c r="Q37" s="49"/>
      <c r="R37" s="49"/>
      <c r="S37" s="49"/>
      <c r="T37" s="49"/>
      <c r="U37" s="49"/>
      <c r="V37" s="49"/>
      <c r="W37" s="49"/>
      <c r="X37" s="49"/>
      <c r="Y37" s="49"/>
      <c r="Z37" s="49"/>
      <c r="AA37" s="49"/>
      <c r="AB37" s="49"/>
      <c r="AC37" s="49"/>
      <c r="AD37" s="49"/>
      <c r="AE37" s="49"/>
      <c r="AF37" s="49"/>
      <c r="AG37" s="49"/>
      <c r="AI37" s="0" t="str">
        <f aca="false">IF(OR(B37="",E37=""),"",IF(COUNTIFS($B$6:$B$60,B37,$E$6:$E$60,"&lt;"&amp;E37)=0,B37,""))</f>
        <v/>
      </c>
      <c r="AJ37" s="0" t="str">
        <f aca="false">IF(OR(B37="",G37=""),"",IF(COUNTIFS($B$6:$B$60,B37,$G$6:$G$60,"&gt;"&amp;G37)=0,B37,""))</f>
        <v/>
      </c>
    </row>
    <row r="38" customFormat="false" ht="15" hidden="false" customHeight="false" outlineLevel="0" collapsed="false">
      <c r="A38" s="25"/>
      <c r="B38" s="42"/>
      <c r="C38" s="43"/>
      <c r="D38" s="42"/>
      <c r="E38" s="44"/>
      <c r="F38" s="45"/>
      <c r="G38" s="30" t="str">
        <f aca="false">IF(E38="","",WORKDAY(E38,F38-1))</f>
        <v/>
      </c>
      <c r="H38" s="45"/>
      <c r="I38" s="46"/>
      <c r="J38" s="47" t="str">
        <f aca="false">IF(E38="","",IF(AsOf&lt;E38,0,MIN(1,NETWORKDAYS(E38,AsOf)/F38)))</f>
        <v/>
      </c>
      <c r="K38" s="23" t="str">
        <f aca="false">IF(E38="","",IF(I38&gt;=1,"Complete",IF(AsOf&gt;G38,"Late",IF(AsOf&lt;E38,"Not Started",IF(J38-I38&gt;0.15,"At Risk","On Track")))))</f>
        <v/>
      </c>
      <c r="L38" s="25" t="n">
        <f aca="false">IF(K38="Late",NETWORKDAYS(G38,AsOf)-1,0)</f>
        <v>0</v>
      </c>
      <c r="M38" s="43"/>
      <c r="N38" s="48" t="str">
        <f aca="false">IF(AND(H38="Y",I38&lt;1,G38&gt;=AsOf,G38&lt;=AsOf+60),G38+ROW()/10000,"")</f>
        <v/>
      </c>
      <c r="O38" s="48" t="str">
        <f aca="false">IF(AND(I38&gt;=1,G38&gt;AsOf-7,G38&lt;=AsOf),G38+ROW()/10000,"")</f>
        <v/>
      </c>
      <c r="P38" s="48" t="str">
        <f aca="false">IF(OR(K38="Late",K38="At Risk"),ROW(),"")</f>
        <v/>
      </c>
      <c r="Q38" s="49"/>
      <c r="R38" s="49"/>
      <c r="S38" s="49"/>
      <c r="T38" s="49"/>
      <c r="U38" s="49"/>
      <c r="V38" s="49"/>
      <c r="W38" s="49"/>
      <c r="X38" s="49"/>
      <c r="Y38" s="49"/>
      <c r="Z38" s="49"/>
      <c r="AA38" s="49"/>
      <c r="AB38" s="49"/>
      <c r="AC38" s="49"/>
      <c r="AD38" s="49"/>
      <c r="AE38" s="49"/>
      <c r="AF38" s="49"/>
      <c r="AG38" s="49"/>
      <c r="AI38" s="0" t="str">
        <f aca="false">IF(OR(B38="",E38=""),"",IF(COUNTIFS($B$6:$B$60,B38,$E$6:$E$60,"&lt;"&amp;E38)=0,B38,""))</f>
        <v/>
      </c>
      <c r="AJ38" s="0" t="str">
        <f aca="false">IF(OR(B38="",G38=""),"",IF(COUNTIFS($B$6:$B$60,B38,$G$6:$G$60,"&gt;"&amp;G38)=0,B38,""))</f>
        <v/>
      </c>
    </row>
    <row r="39" customFormat="false" ht="15" hidden="false" customHeight="false" outlineLevel="0" collapsed="false">
      <c r="A39" s="25"/>
      <c r="B39" s="42"/>
      <c r="C39" s="43"/>
      <c r="D39" s="42"/>
      <c r="E39" s="44"/>
      <c r="F39" s="45"/>
      <c r="G39" s="30" t="str">
        <f aca="false">IF(E39="","",WORKDAY(E39,F39-1))</f>
        <v/>
      </c>
      <c r="H39" s="45"/>
      <c r="I39" s="46"/>
      <c r="J39" s="47" t="str">
        <f aca="false">IF(E39="","",IF(AsOf&lt;E39,0,MIN(1,NETWORKDAYS(E39,AsOf)/F39)))</f>
        <v/>
      </c>
      <c r="K39" s="23" t="str">
        <f aca="false">IF(E39="","",IF(I39&gt;=1,"Complete",IF(AsOf&gt;G39,"Late",IF(AsOf&lt;E39,"Not Started",IF(J39-I39&gt;0.15,"At Risk","On Track")))))</f>
        <v/>
      </c>
      <c r="L39" s="25" t="n">
        <f aca="false">IF(K39="Late",NETWORKDAYS(G39,AsOf)-1,0)</f>
        <v>0</v>
      </c>
      <c r="M39" s="43"/>
      <c r="N39" s="48" t="str">
        <f aca="false">IF(AND(H39="Y",I39&lt;1,G39&gt;=AsOf,G39&lt;=AsOf+60),G39+ROW()/10000,"")</f>
        <v/>
      </c>
      <c r="O39" s="48" t="str">
        <f aca="false">IF(AND(I39&gt;=1,G39&gt;AsOf-7,G39&lt;=AsOf),G39+ROW()/10000,"")</f>
        <v/>
      </c>
      <c r="P39" s="48" t="str">
        <f aca="false">IF(OR(K39="Late",K39="At Risk"),ROW(),"")</f>
        <v/>
      </c>
      <c r="Q39" s="49"/>
      <c r="R39" s="49"/>
      <c r="S39" s="49"/>
      <c r="T39" s="49"/>
      <c r="U39" s="49"/>
      <c r="V39" s="49"/>
      <c r="W39" s="49"/>
      <c r="X39" s="49"/>
      <c r="Y39" s="49"/>
      <c r="Z39" s="49"/>
      <c r="AA39" s="49"/>
      <c r="AB39" s="49"/>
      <c r="AC39" s="49"/>
      <c r="AD39" s="49"/>
      <c r="AE39" s="49"/>
      <c r="AF39" s="49"/>
      <c r="AG39" s="49"/>
      <c r="AI39" s="0" t="str">
        <f aca="false">IF(OR(B39="",E39=""),"",IF(COUNTIFS($B$6:$B$60,B39,$E$6:$E$60,"&lt;"&amp;E39)=0,B39,""))</f>
        <v/>
      </c>
      <c r="AJ39" s="0" t="str">
        <f aca="false">IF(OR(B39="",G39=""),"",IF(COUNTIFS($B$6:$B$60,B39,$G$6:$G$60,"&gt;"&amp;G39)=0,B39,""))</f>
        <v/>
      </c>
    </row>
    <row r="40" customFormat="false" ht="15" hidden="false" customHeight="false" outlineLevel="0" collapsed="false">
      <c r="A40" s="25"/>
      <c r="B40" s="42"/>
      <c r="C40" s="43"/>
      <c r="D40" s="42"/>
      <c r="E40" s="44"/>
      <c r="F40" s="45"/>
      <c r="G40" s="30" t="str">
        <f aca="false">IF(E40="","",WORKDAY(E40,F40-1))</f>
        <v/>
      </c>
      <c r="H40" s="45"/>
      <c r="I40" s="46"/>
      <c r="J40" s="47" t="str">
        <f aca="false">IF(E40="","",IF(AsOf&lt;E40,0,MIN(1,NETWORKDAYS(E40,AsOf)/F40)))</f>
        <v/>
      </c>
      <c r="K40" s="23" t="str">
        <f aca="false">IF(E40="","",IF(I40&gt;=1,"Complete",IF(AsOf&gt;G40,"Late",IF(AsOf&lt;E40,"Not Started",IF(J40-I40&gt;0.15,"At Risk","On Track")))))</f>
        <v/>
      </c>
      <c r="L40" s="25" t="n">
        <f aca="false">IF(K40="Late",NETWORKDAYS(G40,AsOf)-1,0)</f>
        <v>0</v>
      </c>
      <c r="M40" s="43"/>
      <c r="N40" s="48" t="str">
        <f aca="false">IF(AND(H40="Y",I40&lt;1,G40&gt;=AsOf,G40&lt;=AsOf+60),G40+ROW()/10000,"")</f>
        <v/>
      </c>
      <c r="O40" s="48" t="str">
        <f aca="false">IF(AND(I40&gt;=1,G40&gt;AsOf-7,G40&lt;=AsOf),G40+ROW()/10000,"")</f>
        <v/>
      </c>
      <c r="P40" s="48" t="str">
        <f aca="false">IF(OR(K40="Late",K40="At Risk"),ROW(),"")</f>
        <v/>
      </c>
      <c r="Q40" s="49"/>
      <c r="R40" s="49"/>
      <c r="S40" s="49"/>
      <c r="T40" s="49"/>
      <c r="U40" s="49"/>
      <c r="V40" s="49"/>
      <c r="W40" s="49"/>
      <c r="X40" s="49"/>
      <c r="Y40" s="49"/>
      <c r="Z40" s="49"/>
      <c r="AA40" s="49"/>
      <c r="AB40" s="49"/>
      <c r="AC40" s="49"/>
      <c r="AD40" s="49"/>
      <c r="AE40" s="49"/>
      <c r="AF40" s="49"/>
      <c r="AG40" s="49"/>
      <c r="AI40" s="0" t="str">
        <f aca="false">IF(OR(B40="",E40=""),"",IF(COUNTIFS($B$6:$B$60,B40,$E$6:$E$60,"&lt;"&amp;E40)=0,B40,""))</f>
        <v/>
      </c>
      <c r="AJ40" s="0" t="str">
        <f aca="false">IF(OR(B40="",G40=""),"",IF(COUNTIFS($B$6:$B$60,B40,$G$6:$G$60,"&gt;"&amp;G40)=0,B40,""))</f>
        <v/>
      </c>
    </row>
    <row r="41" customFormat="false" ht="15" hidden="false" customHeight="false" outlineLevel="0" collapsed="false">
      <c r="A41" s="25"/>
      <c r="B41" s="42"/>
      <c r="C41" s="43"/>
      <c r="D41" s="42"/>
      <c r="E41" s="44"/>
      <c r="F41" s="45"/>
      <c r="G41" s="30" t="str">
        <f aca="false">IF(E41="","",WORKDAY(E41,F41-1))</f>
        <v/>
      </c>
      <c r="H41" s="45"/>
      <c r="I41" s="46"/>
      <c r="J41" s="47" t="str">
        <f aca="false">IF(E41="","",IF(AsOf&lt;E41,0,MIN(1,NETWORKDAYS(E41,AsOf)/F41)))</f>
        <v/>
      </c>
      <c r="K41" s="23" t="str">
        <f aca="false">IF(E41="","",IF(I41&gt;=1,"Complete",IF(AsOf&gt;G41,"Late",IF(AsOf&lt;E41,"Not Started",IF(J41-I41&gt;0.15,"At Risk","On Track")))))</f>
        <v/>
      </c>
      <c r="L41" s="25" t="n">
        <f aca="false">IF(K41="Late",NETWORKDAYS(G41,AsOf)-1,0)</f>
        <v>0</v>
      </c>
      <c r="M41" s="43"/>
      <c r="N41" s="48" t="str">
        <f aca="false">IF(AND(H41="Y",I41&lt;1,G41&gt;=AsOf,G41&lt;=AsOf+60),G41+ROW()/10000,"")</f>
        <v/>
      </c>
      <c r="O41" s="48" t="str">
        <f aca="false">IF(AND(I41&gt;=1,G41&gt;AsOf-7,G41&lt;=AsOf),G41+ROW()/10000,"")</f>
        <v/>
      </c>
      <c r="P41" s="48" t="str">
        <f aca="false">IF(OR(K41="Late",K41="At Risk"),ROW(),"")</f>
        <v/>
      </c>
      <c r="Q41" s="49"/>
      <c r="R41" s="49"/>
      <c r="S41" s="49"/>
      <c r="T41" s="49"/>
      <c r="U41" s="49"/>
      <c r="V41" s="49"/>
      <c r="W41" s="49"/>
      <c r="X41" s="49"/>
      <c r="Y41" s="49"/>
      <c r="Z41" s="49"/>
      <c r="AA41" s="49"/>
      <c r="AB41" s="49"/>
      <c r="AC41" s="49"/>
      <c r="AD41" s="49"/>
      <c r="AE41" s="49"/>
      <c r="AF41" s="49"/>
      <c r="AG41" s="49"/>
      <c r="AI41" s="0" t="str">
        <f aca="false">IF(OR(B41="",E41=""),"",IF(COUNTIFS($B$6:$B$60,B41,$E$6:$E$60,"&lt;"&amp;E41)=0,B41,""))</f>
        <v/>
      </c>
      <c r="AJ41" s="0" t="str">
        <f aca="false">IF(OR(B41="",G41=""),"",IF(COUNTIFS($B$6:$B$60,B41,$G$6:$G$60,"&gt;"&amp;G41)=0,B41,""))</f>
        <v/>
      </c>
    </row>
    <row r="42" customFormat="false" ht="15" hidden="false" customHeight="false" outlineLevel="0" collapsed="false">
      <c r="A42" s="25"/>
      <c r="B42" s="42"/>
      <c r="C42" s="43"/>
      <c r="D42" s="42"/>
      <c r="E42" s="44"/>
      <c r="F42" s="45"/>
      <c r="G42" s="30" t="str">
        <f aca="false">IF(E42="","",WORKDAY(E42,F42-1))</f>
        <v/>
      </c>
      <c r="H42" s="45"/>
      <c r="I42" s="46"/>
      <c r="J42" s="47" t="str">
        <f aca="false">IF(E42="","",IF(AsOf&lt;E42,0,MIN(1,NETWORKDAYS(E42,AsOf)/F42)))</f>
        <v/>
      </c>
      <c r="K42" s="23" t="str">
        <f aca="false">IF(E42="","",IF(I42&gt;=1,"Complete",IF(AsOf&gt;G42,"Late",IF(AsOf&lt;E42,"Not Started",IF(J42-I42&gt;0.15,"At Risk","On Track")))))</f>
        <v/>
      </c>
      <c r="L42" s="25" t="n">
        <f aca="false">IF(K42="Late",NETWORKDAYS(G42,AsOf)-1,0)</f>
        <v>0</v>
      </c>
      <c r="M42" s="43"/>
      <c r="N42" s="48" t="str">
        <f aca="false">IF(AND(H42="Y",I42&lt;1,G42&gt;=AsOf,G42&lt;=AsOf+60),G42+ROW()/10000,"")</f>
        <v/>
      </c>
      <c r="O42" s="48" t="str">
        <f aca="false">IF(AND(I42&gt;=1,G42&gt;AsOf-7,G42&lt;=AsOf),G42+ROW()/10000,"")</f>
        <v/>
      </c>
      <c r="P42" s="48" t="str">
        <f aca="false">IF(OR(K42="Late",K42="At Risk"),ROW(),"")</f>
        <v/>
      </c>
      <c r="Q42" s="49"/>
      <c r="R42" s="49"/>
      <c r="S42" s="49"/>
      <c r="T42" s="49"/>
      <c r="U42" s="49"/>
      <c r="V42" s="49"/>
      <c r="W42" s="49"/>
      <c r="X42" s="49"/>
      <c r="Y42" s="49"/>
      <c r="Z42" s="49"/>
      <c r="AA42" s="49"/>
      <c r="AB42" s="49"/>
      <c r="AC42" s="49"/>
      <c r="AD42" s="49"/>
      <c r="AE42" s="49"/>
      <c r="AF42" s="49"/>
      <c r="AG42" s="49"/>
      <c r="AI42" s="0" t="str">
        <f aca="false">IF(OR(B42="",E42=""),"",IF(COUNTIFS($B$6:$B$60,B42,$E$6:$E$60,"&lt;"&amp;E42)=0,B42,""))</f>
        <v/>
      </c>
      <c r="AJ42" s="0" t="str">
        <f aca="false">IF(OR(B42="",G42=""),"",IF(COUNTIFS($B$6:$B$60,B42,$G$6:$G$60,"&gt;"&amp;G42)=0,B42,""))</f>
        <v/>
      </c>
    </row>
    <row r="43" customFormat="false" ht="15" hidden="false" customHeight="false" outlineLevel="0" collapsed="false">
      <c r="A43" s="25"/>
      <c r="B43" s="42"/>
      <c r="C43" s="43"/>
      <c r="D43" s="42"/>
      <c r="E43" s="44"/>
      <c r="F43" s="45"/>
      <c r="G43" s="30" t="str">
        <f aca="false">IF(E43="","",WORKDAY(E43,F43-1))</f>
        <v/>
      </c>
      <c r="H43" s="45"/>
      <c r="I43" s="46"/>
      <c r="J43" s="47" t="str">
        <f aca="false">IF(E43="","",IF(AsOf&lt;E43,0,MIN(1,NETWORKDAYS(E43,AsOf)/F43)))</f>
        <v/>
      </c>
      <c r="K43" s="23" t="str">
        <f aca="false">IF(E43="","",IF(I43&gt;=1,"Complete",IF(AsOf&gt;G43,"Late",IF(AsOf&lt;E43,"Not Started",IF(J43-I43&gt;0.15,"At Risk","On Track")))))</f>
        <v/>
      </c>
      <c r="L43" s="25" t="n">
        <f aca="false">IF(K43="Late",NETWORKDAYS(G43,AsOf)-1,0)</f>
        <v>0</v>
      </c>
      <c r="M43" s="43"/>
      <c r="N43" s="48" t="str">
        <f aca="false">IF(AND(H43="Y",I43&lt;1,G43&gt;=AsOf,G43&lt;=AsOf+60),G43+ROW()/10000,"")</f>
        <v/>
      </c>
      <c r="O43" s="48" t="str">
        <f aca="false">IF(AND(I43&gt;=1,G43&gt;AsOf-7,G43&lt;=AsOf),G43+ROW()/10000,"")</f>
        <v/>
      </c>
      <c r="P43" s="48" t="str">
        <f aca="false">IF(OR(K43="Late",K43="At Risk"),ROW(),"")</f>
        <v/>
      </c>
      <c r="Q43" s="49"/>
      <c r="R43" s="49"/>
      <c r="S43" s="49"/>
      <c r="T43" s="49"/>
      <c r="U43" s="49"/>
      <c r="V43" s="49"/>
      <c r="W43" s="49"/>
      <c r="X43" s="49"/>
      <c r="Y43" s="49"/>
      <c r="Z43" s="49"/>
      <c r="AA43" s="49"/>
      <c r="AB43" s="49"/>
      <c r="AC43" s="49"/>
      <c r="AD43" s="49"/>
      <c r="AE43" s="49"/>
      <c r="AF43" s="49"/>
      <c r="AG43" s="49"/>
      <c r="AI43" s="0" t="str">
        <f aca="false">IF(OR(B43="",E43=""),"",IF(COUNTIFS($B$6:$B$60,B43,$E$6:$E$60,"&lt;"&amp;E43)=0,B43,""))</f>
        <v/>
      </c>
      <c r="AJ43" s="0" t="str">
        <f aca="false">IF(OR(B43="",G43=""),"",IF(COUNTIFS($B$6:$B$60,B43,$G$6:$G$60,"&gt;"&amp;G43)=0,B43,""))</f>
        <v/>
      </c>
    </row>
    <row r="44" customFormat="false" ht="15" hidden="false" customHeight="false" outlineLevel="0" collapsed="false">
      <c r="A44" s="25"/>
      <c r="B44" s="42"/>
      <c r="C44" s="43"/>
      <c r="D44" s="42"/>
      <c r="E44" s="44"/>
      <c r="F44" s="45"/>
      <c r="G44" s="30" t="str">
        <f aca="false">IF(E44="","",WORKDAY(E44,F44-1))</f>
        <v/>
      </c>
      <c r="H44" s="45"/>
      <c r="I44" s="46"/>
      <c r="J44" s="47" t="str">
        <f aca="false">IF(E44="","",IF(AsOf&lt;E44,0,MIN(1,NETWORKDAYS(E44,AsOf)/F44)))</f>
        <v/>
      </c>
      <c r="K44" s="23" t="str">
        <f aca="false">IF(E44="","",IF(I44&gt;=1,"Complete",IF(AsOf&gt;G44,"Late",IF(AsOf&lt;E44,"Not Started",IF(J44-I44&gt;0.15,"At Risk","On Track")))))</f>
        <v/>
      </c>
      <c r="L44" s="25" t="n">
        <f aca="false">IF(K44="Late",NETWORKDAYS(G44,AsOf)-1,0)</f>
        <v>0</v>
      </c>
      <c r="M44" s="43"/>
      <c r="N44" s="48" t="str">
        <f aca="false">IF(AND(H44="Y",I44&lt;1,G44&gt;=AsOf,G44&lt;=AsOf+60),G44+ROW()/10000,"")</f>
        <v/>
      </c>
      <c r="O44" s="48" t="str">
        <f aca="false">IF(AND(I44&gt;=1,G44&gt;AsOf-7,G44&lt;=AsOf),G44+ROW()/10000,"")</f>
        <v/>
      </c>
      <c r="P44" s="48" t="str">
        <f aca="false">IF(OR(K44="Late",K44="At Risk"),ROW(),"")</f>
        <v/>
      </c>
      <c r="Q44" s="49"/>
      <c r="R44" s="49"/>
      <c r="S44" s="49"/>
      <c r="T44" s="49"/>
      <c r="U44" s="49"/>
      <c r="V44" s="49"/>
      <c r="W44" s="49"/>
      <c r="X44" s="49"/>
      <c r="Y44" s="49"/>
      <c r="Z44" s="49"/>
      <c r="AA44" s="49"/>
      <c r="AB44" s="49"/>
      <c r="AC44" s="49"/>
      <c r="AD44" s="49"/>
      <c r="AE44" s="49"/>
      <c r="AF44" s="49"/>
      <c r="AG44" s="49"/>
      <c r="AI44" s="0" t="str">
        <f aca="false">IF(OR(B44="",E44=""),"",IF(COUNTIFS($B$6:$B$60,B44,$E$6:$E$60,"&lt;"&amp;E44)=0,B44,""))</f>
        <v/>
      </c>
      <c r="AJ44" s="0" t="str">
        <f aca="false">IF(OR(B44="",G44=""),"",IF(COUNTIFS($B$6:$B$60,B44,$G$6:$G$60,"&gt;"&amp;G44)=0,B44,""))</f>
        <v/>
      </c>
    </row>
    <row r="45" customFormat="false" ht="15" hidden="false" customHeight="false" outlineLevel="0" collapsed="false">
      <c r="A45" s="25"/>
      <c r="B45" s="42"/>
      <c r="C45" s="43"/>
      <c r="D45" s="42"/>
      <c r="E45" s="44"/>
      <c r="F45" s="45"/>
      <c r="G45" s="30" t="str">
        <f aca="false">IF(E45="","",WORKDAY(E45,F45-1))</f>
        <v/>
      </c>
      <c r="H45" s="45"/>
      <c r="I45" s="46"/>
      <c r="J45" s="47" t="str">
        <f aca="false">IF(E45="","",IF(AsOf&lt;E45,0,MIN(1,NETWORKDAYS(E45,AsOf)/F45)))</f>
        <v/>
      </c>
      <c r="K45" s="23" t="str">
        <f aca="false">IF(E45="","",IF(I45&gt;=1,"Complete",IF(AsOf&gt;G45,"Late",IF(AsOf&lt;E45,"Not Started",IF(J45-I45&gt;0.15,"At Risk","On Track")))))</f>
        <v/>
      </c>
      <c r="L45" s="25" t="n">
        <f aca="false">IF(K45="Late",NETWORKDAYS(G45,AsOf)-1,0)</f>
        <v>0</v>
      </c>
      <c r="M45" s="43"/>
      <c r="N45" s="48" t="str">
        <f aca="false">IF(AND(H45="Y",I45&lt;1,G45&gt;=AsOf,G45&lt;=AsOf+60),G45+ROW()/10000,"")</f>
        <v/>
      </c>
      <c r="O45" s="48" t="str">
        <f aca="false">IF(AND(I45&gt;=1,G45&gt;AsOf-7,G45&lt;=AsOf),G45+ROW()/10000,"")</f>
        <v/>
      </c>
      <c r="P45" s="48" t="str">
        <f aca="false">IF(OR(K45="Late",K45="At Risk"),ROW(),"")</f>
        <v/>
      </c>
      <c r="Q45" s="49"/>
      <c r="R45" s="49"/>
      <c r="S45" s="49"/>
      <c r="T45" s="49"/>
      <c r="U45" s="49"/>
      <c r="V45" s="49"/>
      <c r="W45" s="49"/>
      <c r="X45" s="49"/>
      <c r="Y45" s="49"/>
      <c r="Z45" s="49"/>
      <c r="AA45" s="49"/>
      <c r="AB45" s="49"/>
      <c r="AC45" s="49"/>
      <c r="AD45" s="49"/>
      <c r="AE45" s="49"/>
      <c r="AF45" s="49"/>
      <c r="AG45" s="49"/>
      <c r="AI45" s="0" t="str">
        <f aca="false">IF(OR(B45="",E45=""),"",IF(COUNTIFS($B$6:$B$60,B45,$E$6:$E$60,"&lt;"&amp;E45)=0,B45,""))</f>
        <v/>
      </c>
      <c r="AJ45" s="0" t="str">
        <f aca="false">IF(OR(B45="",G45=""),"",IF(COUNTIFS($B$6:$B$60,B45,$G$6:$G$60,"&gt;"&amp;G45)=0,B45,""))</f>
        <v/>
      </c>
    </row>
    <row r="46" customFormat="false" ht="15" hidden="false" customHeight="false" outlineLevel="0" collapsed="false">
      <c r="E46" s="51"/>
      <c r="G46" s="51" t="str">
        <f aca="false">IF(E46="","",WORKDAY(E46,F46-1))</f>
        <v/>
      </c>
      <c r="I46" s="52"/>
      <c r="J46" s="52" t="str">
        <f aca="false">IF(E46="","",IF(AsOf&lt;E46,0,MIN(1,NETWORKDAYS(E46,AsOf)/F46)))</f>
        <v/>
      </c>
      <c r="K46" s="0" t="str">
        <f aca="false">IF(E46="","",IF(I46&gt;=1,"Complete",IF(AsOf&gt;G46,"Late",IF(AsOf&lt;E46,"Not Started",IF(J46-I46&gt;0.15,"At Risk","On Track")))))</f>
        <v/>
      </c>
      <c r="L46" s="53" t="n">
        <f aca="false">IF(K46="Late",NETWORKDAYS(G46,AsOf)-1,0)</f>
        <v>0</v>
      </c>
      <c r="N46" s="54" t="str">
        <f aca="false">IF(AND(H46="Y",I46&lt;1,G46&gt;=AsOf,G46&lt;=AsOf+60),G46+ROW()/10000,"")</f>
        <v/>
      </c>
      <c r="O46" s="54" t="str">
        <f aca="false">IF(AND(I46&gt;=1,G46&gt;AsOf-7,G46&lt;=AsOf),G46+ROW()/10000,"")</f>
        <v/>
      </c>
      <c r="P46" s="54" t="str">
        <f aca="false">IF(OR(K46="Late",K46="At Risk"),ROW(),"")</f>
        <v/>
      </c>
      <c r="AI46" s="0" t="str">
        <f aca="false">IF(OR(B46="",E46=""),"",IF(COUNTIFS($B$6:$B$60,B46,$E$6:$E$60,"&lt;"&amp;E46)=0,B46,""))</f>
        <v/>
      </c>
      <c r="AJ46" s="0" t="str">
        <f aca="false">IF(OR(B46="",G46=""),"",IF(COUNTIFS($B$6:$B$60,B46,$G$6:$G$60,"&gt;"&amp;G46)=0,B46,""))</f>
        <v/>
      </c>
    </row>
    <row r="47" customFormat="false" ht="15" hidden="false" customHeight="false" outlineLevel="0" collapsed="false">
      <c r="E47" s="51"/>
      <c r="G47" s="51" t="str">
        <f aca="false">IF(E47="","",WORKDAY(E47,F47-1))</f>
        <v/>
      </c>
      <c r="I47" s="52"/>
      <c r="J47" s="52" t="str">
        <f aca="false">IF(E47="","",IF(AsOf&lt;E47,0,MIN(1,NETWORKDAYS(E47,AsOf)/F47)))</f>
        <v/>
      </c>
      <c r="K47" s="0" t="str">
        <f aca="false">IF(E47="","",IF(I47&gt;=1,"Complete",IF(AsOf&gt;G47,"Late",IF(AsOf&lt;E47,"Not Started",IF(J47-I47&gt;0.15,"At Risk","On Track")))))</f>
        <v/>
      </c>
      <c r="L47" s="53" t="n">
        <f aca="false">IF(K47="Late",NETWORKDAYS(G47,AsOf)-1,0)</f>
        <v>0</v>
      </c>
      <c r="N47" s="54" t="str">
        <f aca="false">IF(AND(H47="Y",I47&lt;1,G47&gt;=AsOf,G47&lt;=AsOf+60),G47+ROW()/10000,"")</f>
        <v/>
      </c>
      <c r="O47" s="54" t="str">
        <f aca="false">IF(AND(I47&gt;=1,G47&gt;AsOf-7,G47&lt;=AsOf),G47+ROW()/10000,"")</f>
        <v/>
      </c>
      <c r="P47" s="54" t="str">
        <f aca="false">IF(OR(K47="Late",K47="At Risk"),ROW(),"")</f>
        <v/>
      </c>
      <c r="AI47" s="0" t="str">
        <f aca="false">IF(OR(B47="",E47=""),"",IF(COUNTIFS($B$6:$B$60,B47,$E$6:$E$60,"&lt;"&amp;E47)=0,B47,""))</f>
        <v/>
      </c>
      <c r="AJ47" s="0" t="str">
        <f aca="false">IF(OR(B47="",G47=""),"",IF(COUNTIFS($B$6:$B$60,B47,$G$6:$G$60,"&gt;"&amp;G47)=0,B47,""))</f>
        <v/>
      </c>
    </row>
    <row r="48" customFormat="false" ht="15" hidden="false" customHeight="false" outlineLevel="0" collapsed="false">
      <c r="E48" s="51"/>
      <c r="G48" s="51" t="str">
        <f aca="false">IF(E48="","",WORKDAY(E48,F48-1))</f>
        <v/>
      </c>
      <c r="I48" s="52"/>
      <c r="J48" s="52" t="str">
        <f aca="false">IF(E48="","",IF(AsOf&lt;E48,0,MIN(1,NETWORKDAYS(E48,AsOf)/F48)))</f>
        <v/>
      </c>
      <c r="K48" s="0" t="str">
        <f aca="false">IF(E48="","",IF(I48&gt;=1,"Complete",IF(AsOf&gt;G48,"Late",IF(AsOf&lt;E48,"Not Started",IF(J48-I48&gt;0.15,"At Risk","On Track")))))</f>
        <v/>
      </c>
      <c r="L48" s="53" t="n">
        <f aca="false">IF(K48="Late",NETWORKDAYS(G48,AsOf)-1,0)</f>
        <v>0</v>
      </c>
      <c r="N48" s="54" t="str">
        <f aca="false">IF(AND(H48="Y",I48&lt;1,G48&gt;=AsOf,G48&lt;=AsOf+60),G48+ROW()/10000,"")</f>
        <v/>
      </c>
      <c r="O48" s="54" t="str">
        <f aca="false">IF(AND(I48&gt;=1,G48&gt;AsOf-7,G48&lt;=AsOf),G48+ROW()/10000,"")</f>
        <v/>
      </c>
      <c r="P48" s="54" t="str">
        <f aca="false">IF(OR(K48="Late",K48="At Risk"),ROW(),"")</f>
        <v/>
      </c>
      <c r="AI48" s="0" t="str">
        <f aca="false">IF(OR(B48="",E48=""),"",IF(COUNTIFS($B$6:$B$60,B48,$E$6:$E$60,"&lt;"&amp;E48)=0,B48,""))</f>
        <v/>
      </c>
      <c r="AJ48" s="0" t="str">
        <f aca="false">IF(OR(B48="",G48=""),"",IF(COUNTIFS($B$6:$B$60,B48,$G$6:$G$60,"&gt;"&amp;G48)=0,B48,""))</f>
        <v/>
      </c>
    </row>
    <row r="49" customFormat="false" ht="15" hidden="false" customHeight="false" outlineLevel="0" collapsed="false">
      <c r="E49" s="51"/>
      <c r="G49" s="51" t="str">
        <f aca="false">IF(E49="","",WORKDAY(E49,F49-1))</f>
        <v/>
      </c>
      <c r="I49" s="52"/>
      <c r="J49" s="52" t="str">
        <f aca="false">IF(E49="","",IF(AsOf&lt;E49,0,MIN(1,NETWORKDAYS(E49,AsOf)/F49)))</f>
        <v/>
      </c>
      <c r="K49" s="0" t="str">
        <f aca="false">IF(E49="","",IF(I49&gt;=1,"Complete",IF(AsOf&gt;G49,"Late",IF(AsOf&lt;E49,"Not Started",IF(J49-I49&gt;0.15,"At Risk","On Track")))))</f>
        <v/>
      </c>
      <c r="L49" s="53" t="n">
        <f aca="false">IF(K49="Late",NETWORKDAYS(G49,AsOf)-1,0)</f>
        <v>0</v>
      </c>
      <c r="N49" s="54" t="str">
        <f aca="false">IF(AND(H49="Y",I49&lt;1,G49&gt;=AsOf,G49&lt;=AsOf+60),G49+ROW()/10000,"")</f>
        <v/>
      </c>
      <c r="O49" s="54" t="str">
        <f aca="false">IF(AND(I49&gt;=1,G49&gt;AsOf-7,G49&lt;=AsOf),G49+ROW()/10000,"")</f>
        <v/>
      </c>
      <c r="P49" s="54" t="str">
        <f aca="false">IF(OR(K49="Late",K49="At Risk"),ROW(),"")</f>
        <v/>
      </c>
      <c r="AI49" s="0" t="str">
        <f aca="false">IF(OR(B49="",E49=""),"",IF(COUNTIFS($B$6:$B$60,B49,$E$6:$E$60,"&lt;"&amp;E49)=0,B49,""))</f>
        <v/>
      </c>
      <c r="AJ49" s="0" t="str">
        <f aca="false">IF(OR(B49="",G49=""),"",IF(COUNTIFS($B$6:$B$60,B49,$G$6:$G$60,"&gt;"&amp;G49)=0,B49,""))</f>
        <v/>
      </c>
    </row>
    <row r="50" customFormat="false" ht="15" hidden="false" customHeight="false" outlineLevel="0" collapsed="false">
      <c r="E50" s="51"/>
      <c r="G50" s="51" t="str">
        <f aca="false">IF(E50="","",WORKDAY(E50,F50-1))</f>
        <v/>
      </c>
      <c r="I50" s="52"/>
      <c r="J50" s="52" t="str">
        <f aca="false">IF(E50="","",IF(AsOf&lt;E50,0,MIN(1,NETWORKDAYS(E50,AsOf)/F50)))</f>
        <v/>
      </c>
      <c r="K50" s="0" t="str">
        <f aca="false">IF(E50="","",IF(I50&gt;=1,"Complete",IF(AsOf&gt;G50,"Late",IF(AsOf&lt;E50,"Not Started",IF(J50-I50&gt;0.15,"At Risk","On Track")))))</f>
        <v/>
      </c>
      <c r="L50" s="53" t="n">
        <f aca="false">IF(K50="Late",NETWORKDAYS(G50,AsOf)-1,0)</f>
        <v>0</v>
      </c>
      <c r="N50" s="54" t="str">
        <f aca="false">IF(AND(H50="Y",I50&lt;1,G50&gt;=AsOf,G50&lt;=AsOf+60),G50+ROW()/10000,"")</f>
        <v/>
      </c>
      <c r="O50" s="54" t="str">
        <f aca="false">IF(AND(I50&gt;=1,G50&gt;AsOf-7,G50&lt;=AsOf),G50+ROW()/10000,"")</f>
        <v/>
      </c>
      <c r="P50" s="54" t="str">
        <f aca="false">IF(OR(K50="Late",K50="At Risk"),ROW(),"")</f>
        <v/>
      </c>
      <c r="AI50" s="0" t="str">
        <f aca="false">IF(OR(B50="",E50=""),"",IF(COUNTIFS($B$6:$B$60,B50,$E$6:$E$60,"&lt;"&amp;E50)=0,B50,""))</f>
        <v/>
      </c>
      <c r="AJ50" s="0" t="str">
        <f aca="false">IF(OR(B50="",G50=""),"",IF(COUNTIFS($B$6:$B$60,B50,$G$6:$G$60,"&gt;"&amp;G50)=0,B50,""))</f>
        <v/>
      </c>
    </row>
    <row r="51" customFormat="false" ht="15" hidden="false" customHeight="false" outlineLevel="0" collapsed="false">
      <c r="E51" s="51"/>
      <c r="G51" s="51" t="str">
        <f aca="false">IF(E51="","",WORKDAY(E51,F51-1))</f>
        <v/>
      </c>
      <c r="I51" s="52"/>
      <c r="J51" s="52" t="str">
        <f aca="false">IF(E51="","",IF(AsOf&lt;E51,0,MIN(1,NETWORKDAYS(E51,AsOf)/F51)))</f>
        <v/>
      </c>
      <c r="K51" s="0" t="str">
        <f aca="false">IF(E51="","",IF(I51&gt;=1,"Complete",IF(AsOf&gt;G51,"Late",IF(AsOf&lt;E51,"Not Started",IF(J51-I51&gt;0.15,"At Risk","On Track")))))</f>
        <v/>
      </c>
      <c r="L51" s="53" t="n">
        <f aca="false">IF(K51="Late",NETWORKDAYS(G51,AsOf)-1,0)</f>
        <v>0</v>
      </c>
      <c r="N51" s="54" t="str">
        <f aca="false">IF(AND(H51="Y",I51&lt;1,G51&gt;=AsOf,G51&lt;=AsOf+60),G51+ROW()/10000,"")</f>
        <v/>
      </c>
      <c r="O51" s="54" t="str">
        <f aca="false">IF(AND(I51&gt;=1,G51&gt;AsOf-7,G51&lt;=AsOf),G51+ROW()/10000,"")</f>
        <v/>
      </c>
      <c r="P51" s="54" t="str">
        <f aca="false">IF(OR(K51="Late",K51="At Risk"),ROW(),"")</f>
        <v/>
      </c>
      <c r="AI51" s="0" t="str">
        <f aca="false">IF(OR(B51="",E51=""),"",IF(COUNTIFS($B$6:$B$60,B51,$E$6:$E$60,"&lt;"&amp;E51)=0,B51,""))</f>
        <v/>
      </c>
      <c r="AJ51" s="0" t="str">
        <f aca="false">IF(OR(B51="",G51=""),"",IF(COUNTIFS($B$6:$B$60,B51,$G$6:$G$60,"&gt;"&amp;G51)=0,B51,""))</f>
        <v/>
      </c>
    </row>
    <row r="52" customFormat="false" ht="15" hidden="false" customHeight="false" outlineLevel="0" collapsed="false">
      <c r="E52" s="51"/>
      <c r="G52" s="51" t="str">
        <f aca="false">IF(E52="","",WORKDAY(E52,F52-1))</f>
        <v/>
      </c>
      <c r="I52" s="52"/>
      <c r="J52" s="52" t="str">
        <f aca="false">IF(E52="","",IF(AsOf&lt;E52,0,MIN(1,NETWORKDAYS(E52,AsOf)/F52)))</f>
        <v/>
      </c>
      <c r="K52" s="0" t="str">
        <f aca="false">IF(E52="","",IF(I52&gt;=1,"Complete",IF(AsOf&gt;G52,"Late",IF(AsOf&lt;E52,"Not Started",IF(J52-I52&gt;0.15,"At Risk","On Track")))))</f>
        <v/>
      </c>
      <c r="L52" s="53" t="n">
        <f aca="false">IF(K52="Late",NETWORKDAYS(G52,AsOf)-1,0)</f>
        <v>0</v>
      </c>
      <c r="N52" s="54" t="str">
        <f aca="false">IF(AND(H52="Y",I52&lt;1,G52&gt;=AsOf,G52&lt;=AsOf+60),G52+ROW()/10000,"")</f>
        <v/>
      </c>
      <c r="O52" s="54" t="str">
        <f aca="false">IF(AND(I52&gt;=1,G52&gt;AsOf-7,G52&lt;=AsOf),G52+ROW()/10000,"")</f>
        <v/>
      </c>
      <c r="P52" s="54" t="str">
        <f aca="false">IF(OR(K52="Late",K52="At Risk"),ROW(),"")</f>
        <v/>
      </c>
      <c r="AI52" s="0" t="str">
        <f aca="false">IF(OR(B52="",E52=""),"",IF(COUNTIFS($B$6:$B$60,B52,$E$6:$E$60,"&lt;"&amp;E52)=0,B52,""))</f>
        <v/>
      </c>
      <c r="AJ52" s="0" t="str">
        <f aca="false">IF(OR(B52="",G52=""),"",IF(COUNTIFS($B$6:$B$60,B52,$G$6:$G$60,"&gt;"&amp;G52)=0,B52,""))</f>
        <v/>
      </c>
    </row>
    <row r="53" customFormat="false" ht="15" hidden="false" customHeight="false" outlineLevel="0" collapsed="false">
      <c r="E53" s="51"/>
      <c r="G53" s="51" t="str">
        <f aca="false">IF(E53="","",WORKDAY(E53,F53-1))</f>
        <v/>
      </c>
      <c r="I53" s="52"/>
      <c r="J53" s="52" t="str">
        <f aca="false">IF(E53="","",IF(AsOf&lt;E53,0,MIN(1,NETWORKDAYS(E53,AsOf)/F53)))</f>
        <v/>
      </c>
      <c r="K53" s="0" t="str">
        <f aca="false">IF(E53="","",IF(I53&gt;=1,"Complete",IF(AsOf&gt;G53,"Late",IF(AsOf&lt;E53,"Not Started",IF(J53-I53&gt;0.15,"At Risk","On Track")))))</f>
        <v/>
      </c>
      <c r="L53" s="53" t="n">
        <f aca="false">IF(K53="Late",NETWORKDAYS(G53,AsOf)-1,0)</f>
        <v>0</v>
      </c>
      <c r="N53" s="54" t="str">
        <f aca="false">IF(AND(H53="Y",I53&lt;1,G53&gt;=AsOf,G53&lt;=AsOf+60),G53+ROW()/10000,"")</f>
        <v/>
      </c>
      <c r="O53" s="54" t="str">
        <f aca="false">IF(AND(I53&gt;=1,G53&gt;AsOf-7,G53&lt;=AsOf),G53+ROW()/10000,"")</f>
        <v/>
      </c>
      <c r="P53" s="54" t="str">
        <f aca="false">IF(OR(K53="Late",K53="At Risk"),ROW(),"")</f>
        <v/>
      </c>
      <c r="AI53" s="0" t="str">
        <f aca="false">IF(OR(B53="",E53=""),"",IF(COUNTIFS($B$6:$B$60,B53,$E$6:$E$60,"&lt;"&amp;E53)=0,B53,""))</f>
        <v/>
      </c>
      <c r="AJ53" s="0" t="str">
        <f aca="false">IF(OR(B53="",G53=""),"",IF(COUNTIFS($B$6:$B$60,B53,$G$6:$G$60,"&gt;"&amp;G53)=0,B53,""))</f>
        <v/>
      </c>
    </row>
    <row r="54" customFormat="false" ht="15" hidden="false" customHeight="false" outlineLevel="0" collapsed="false">
      <c r="E54" s="51"/>
      <c r="G54" s="51" t="str">
        <f aca="false">IF(E54="","",WORKDAY(E54,F54-1))</f>
        <v/>
      </c>
      <c r="I54" s="52"/>
      <c r="J54" s="52" t="str">
        <f aca="false">IF(E54="","",IF(AsOf&lt;E54,0,MIN(1,NETWORKDAYS(E54,AsOf)/F54)))</f>
        <v/>
      </c>
      <c r="K54" s="0" t="str">
        <f aca="false">IF(E54="","",IF(I54&gt;=1,"Complete",IF(AsOf&gt;G54,"Late",IF(AsOf&lt;E54,"Not Started",IF(J54-I54&gt;0.15,"At Risk","On Track")))))</f>
        <v/>
      </c>
      <c r="L54" s="53" t="n">
        <f aca="false">IF(K54="Late",NETWORKDAYS(G54,AsOf)-1,0)</f>
        <v>0</v>
      </c>
      <c r="N54" s="54" t="str">
        <f aca="false">IF(AND(H54="Y",I54&lt;1,G54&gt;=AsOf,G54&lt;=AsOf+60),G54+ROW()/10000,"")</f>
        <v/>
      </c>
      <c r="O54" s="54" t="str">
        <f aca="false">IF(AND(I54&gt;=1,G54&gt;AsOf-7,G54&lt;=AsOf),G54+ROW()/10000,"")</f>
        <v/>
      </c>
      <c r="P54" s="54" t="str">
        <f aca="false">IF(OR(K54="Late",K54="At Risk"),ROW(),"")</f>
        <v/>
      </c>
      <c r="AI54" s="0" t="str">
        <f aca="false">IF(OR(B54="",E54=""),"",IF(COUNTIFS($B$6:$B$60,B54,$E$6:$E$60,"&lt;"&amp;E54)=0,B54,""))</f>
        <v/>
      </c>
      <c r="AJ54" s="0" t="str">
        <f aca="false">IF(OR(B54="",G54=""),"",IF(COUNTIFS($B$6:$B$60,B54,$G$6:$G$60,"&gt;"&amp;G54)=0,B54,""))</f>
        <v/>
      </c>
    </row>
    <row r="55" customFormat="false" ht="15" hidden="false" customHeight="false" outlineLevel="0" collapsed="false">
      <c r="E55" s="51"/>
      <c r="G55" s="51" t="str">
        <f aca="false">IF(E55="","",WORKDAY(E55,F55-1))</f>
        <v/>
      </c>
      <c r="I55" s="52"/>
      <c r="J55" s="52" t="str">
        <f aca="false">IF(E55="","",IF(AsOf&lt;E55,0,MIN(1,NETWORKDAYS(E55,AsOf)/F55)))</f>
        <v/>
      </c>
      <c r="K55" s="0" t="str">
        <f aca="false">IF(E55="","",IF(I55&gt;=1,"Complete",IF(AsOf&gt;G55,"Late",IF(AsOf&lt;E55,"Not Started",IF(J55-I55&gt;0.15,"At Risk","On Track")))))</f>
        <v/>
      </c>
      <c r="L55" s="53" t="n">
        <f aca="false">IF(K55="Late",NETWORKDAYS(G55,AsOf)-1,0)</f>
        <v>0</v>
      </c>
      <c r="N55" s="54" t="str">
        <f aca="false">IF(AND(H55="Y",I55&lt;1,G55&gt;=AsOf,G55&lt;=AsOf+60),G55+ROW()/10000,"")</f>
        <v/>
      </c>
      <c r="O55" s="54" t="str">
        <f aca="false">IF(AND(I55&gt;=1,G55&gt;AsOf-7,G55&lt;=AsOf),G55+ROW()/10000,"")</f>
        <v/>
      </c>
      <c r="P55" s="54" t="str">
        <f aca="false">IF(OR(K55="Late",K55="At Risk"),ROW(),"")</f>
        <v/>
      </c>
      <c r="AI55" s="0" t="str">
        <f aca="false">IF(OR(B55="",E55=""),"",IF(COUNTIFS($B$6:$B$60,B55,$E$6:$E$60,"&lt;"&amp;E55)=0,B55,""))</f>
        <v/>
      </c>
      <c r="AJ55" s="0" t="str">
        <f aca="false">IF(OR(B55="",G55=""),"",IF(COUNTIFS($B$6:$B$60,B55,$G$6:$G$60,"&gt;"&amp;G55)=0,B55,""))</f>
        <v/>
      </c>
    </row>
    <row r="56" customFormat="false" ht="15" hidden="false" customHeight="false" outlineLevel="0" collapsed="false">
      <c r="E56" s="51"/>
      <c r="G56" s="51" t="str">
        <f aca="false">IF(E56="","",WORKDAY(E56,F56-1))</f>
        <v/>
      </c>
      <c r="I56" s="52"/>
      <c r="J56" s="52" t="str">
        <f aca="false">IF(E56="","",IF(AsOf&lt;E56,0,MIN(1,NETWORKDAYS(E56,AsOf)/F56)))</f>
        <v/>
      </c>
      <c r="K56" s="0" t="str">
        <f aca="false">IF(E56="","",IF(I56&gt;=1,"Complete",IF(AsOf&gt;G56,"Late",IF(AsOf&lt;E56,"Not Started",IF(J56-I56&gt;0.15,"At Risk","On Track")))))</f>
        <v/>
      </c>
      <c r="L56" s="53" t="n">
        <f aca="false">IF(K56="Late",NETWORKDAYS(G56,AsOf)-1,0)</f>
        <v>0</v>
      </c>
      <c r="N56" s="54" t="str">
        <f aca="false">IF(AND(H56="Y",I56&lt;1,G56&gt;=AsOf,G56&lt;=AsOf+60),G56+ROW()/10000,"")</f>
        <v/>
      </c>
      <c r="O56" s="54" t="str">
        <f aca="false">IF(AND(I56&gt;=1,G56&gt;AsOf-7,G56&lt;=AsOf),G56+ROW()/10000,"")</f>
        <v/>
      </c>
      <c r="P56" s="54" t="str">
        <f aca="false">IF(OR(K56="Late",K56="At Risk"),ROW(),"")</f>
        <v/>
      </c>
      <c r="AI56" s="0" t="str">
        <f aca="false">IF(OR(B56="",E56=""),"",IF(COUNTIFS($B$6:$B$60,B56,$E$6:$E$60,"&lt;"&amp;E56)=0,B56,""))</f>
        <v/>
      </c>
      <c r="AJ56" s="0" t="str">
        <f aca="false">IF(OR(B56="",G56=""),"",IF(COUNTIFS($B$6:$B$60,B56,$G$6:$G$60,"&gt;"&amp;G56)=0,B56,""))</f>
        <v/>
      </c>
    </row>
    <row r="57" customFormat="false" ht="15" hidden="false" customHeight="false" outlineLevel="0" collapsed="false">
      <c r="E57" s="51"/>
      <c r="G57" s="51" t="str">
        <f aca="false">IF(E57="","",WORKDAY(E57,F57-1))</f>
        <v/>
      </c>
      <c r="I57" s="52"/>
      <c r="J57" s="52" t="str">
        <f aca="false">IF(E57="","",IF(AsOf&lt;E57,0,MIN(1,NETWORKDAYS(E57,AsOf)/F57)))</f>
        <v/>
      </c>
      <c r="K57" s="0" t="str">
        <f aca="false">IF(E57="","",IF(I57&gt;=1,"Complete",IF(AsOf&gt;G57,"Late",IF(AsOf&lt;E57,"Not Started",IF(J57-I57&gt;0.15,"At Risk","On Track")))))</f>
        <v/>
      </c>
      <c r="L57" s="53" t="n">
        <f aca="false">IF(K57="Late",NETWORKDAYS(G57,AsOf)-1,0)</f>
        <v>0</v>
      </c>
      <c r="N57" s="54" t="str">
        <f aca="false">IF(AND(H57="Y",I57&lt;1,G57&gt;=AsOf,G57&lt;=AsOf+60),G57+ROW()/10000,"")</f>
        <v/>
      </c>
      <c r="O57" s="54" t="str">
        <f aca="false">IF(AND(I57&gt;=1,G57&gt;AsOf-7,G57&lt;=AsOf),G57+ROW()/10000,"")</f>
        <v/>
      </c>
      <c r="P57" s="54" t="str">
        <f aca="false">IF(OR(K57="Late",K57="At Risk"),ROW(),"")</f>
        <v/>
      </c>
      <c r="AI57" s="0" t="str">
        <f aca="false">IF(OR(B57="",E57=""),"",IF(COUNTIFS($B$6:$B$60,B57,$E$6:$E$60,"&lt;"&amp;E57)=0,B57,""))</f>
        <v/>
      </c>
      <c r="AJ57" s="0" t="str">
        <f aca="false">IF(OR(B57="",G57=""),"",IF(COUNTIFS($B$6:$B$60,B57,$G$6:$G$60,"&gt;"&amp;G57)=0,B57,""))</f>
        <v/>
      </c>
    </row>
    <row r="58" customFormat="false" ht="15" hidden="false" customHeight="false" outlineLevel="0" collapsed="false">
      <c r="E58" s="51"/>
      <c r="G58" s="51" t="str">
        <f aca="false">IF(E58="","",WORKDAY(E58,F58-1))</f>
        <v/>
      </c>
      <c r="I58" s="52"/>
      <c r="J58" s="52" t="str">
        <f aca="false">IF(E58="","",IF(AsOf&lt;E58,0,MIN(1,NETWORKDAYS(E58,AsOf)/F58)))</f>
        <v/>
      </c>
      <c r="K58" s="0" t="str">
        <f aca="false">IF(E58="","",IF(I58&gt;=1,"Complete",IF(AsOf&gt;G58,"Late",IF(AsOf&lt;E58,"Not Started",IF(J58-I58&gt;0.15,"At Risk","On Track")))))</f>
        <v/>
      </c>
      <c r="L58" s="53" t="n">
        <f aca="false">IF(K58="Late",NETWORKDAYS(G58,AsOf)-1,0)</f>
        <v>0</v>
      </c>
      <c r="N58" s="54" t="str">
        <f aca="false">IF(AND(H58="Y",I58&lt;1,G58&gt;=AsOf,G58&lt;=AsOf+60),G58+ROW()/10000,"")</f>
        <v/>
      </c>
      <c r="O58" s="54" t="str">
        <f aca="false">IF(AND(I58&gt;=1,G58&gt;AsOf-7,G58&lt;=AsOf),G58+ROW()/10000,"")</f>
        <v/>
      </c>
      <c r="P58" s="54" t="str">
        <f aca="false">IF(OR(K58="Late",K58="At Risk"),ROW(),"")</f>
        <v/>
      </c>
      <c r="AI58" s="0" t="str">
        <f aca="false">IF(OR(B58="",E58=""),"",IF(COUNTIFS($B$6:$B$60,B58,$E$6:$E$60,"&lt;"&amp;E58)=0,B58,""))</f>
        <v/>
      </c>
      <c r="AJ58" s="0" t="str">
        <f aca="false">IF(OR(B58="",G58=""),"",IF(COUNTIFS($B$6:$B$60,B58,$G$6:$G$60,"&gt;"&amp;G58)=0,B58,""))</f>
        <v/>
      </c>
    </row>
    <row r="59" customFormat="false" ht="15" hidden="false" customHeight="false" outlineLevel="0" collapsed="false">
      <c r="E59" s="51"/>
      <c r="G59" s="51" t="str">
        <f aca="false">IF(E59="","",WORKDAY(E59,F59-1))</f>
        <v/>
      </c>
      <c r="I59" s="52"/>
      <c r="J59" s="52" t="str">
        <f aca="false">IF(E59="","",IF(AsOf&lt;E59,0,MIN(1,NETWORKDAYS(E59,AsOf)/F59)))</f>
        <v/>
      </c>
      <c r="K59" s="0" t="str">
        <f aca="false">IF(E59="","",IF(I59&gt;=1,"Complete",IF(AsOf&gt;G59,"Late",IF(AsOf&lt;E59,"Not Started",IF(J59-I59&gt;0.15,"At Risk","On Track")))))</f>
        <v/>
      </c>
      <c r="L59" s="53" t="n">
        <f aca="false">IF(K59="Late",NETWORKDAYS(G59,AsOf)-1,0)</f>
        <v>0</v>
      </c>
      <c r="N59" s="54" t="str">
        <f aca="false">IF(AND(H59="Y",I59&lt;1,G59&gt;=AsOf,G59&lt;=AsOf+60),G59+ROW()/10000,"")</f>
        <v/>
      </c>
      <c r="O59" s="54" t="str">
        <f aca="false">IF(AND(I59&gt;=1,G59&gt;AsOf-7,G59&lt;=AsOf),G59+ROW()/10000,"")</f>
        <v/>
      </c>
      <c r="P59" s="54" t="str">
        <f aca="false">IF(OR(K59="Late",K59="At Risk"),ROW(),"")</f>
        <v/>
      </c>
      <c r="AI59" s="0" t="str">
        <f aca="false">IF(OR(B59="",E59=""),"",IF(COUNTIFS($B$6:$B$60,B59,$E$6:$E$60,"&lt;"&amp;E59)=0,B59,""))</f>
        <v/>
      </c>
      <c r="AJ59" s="0" t="str">
        <f aca="false">IF(OR(B59="",G59=""),"",IF(COUNTIFS($B$6:$B$60,B59,$G$6:$G$60,"&gt;"&amp;G59)=0,B59,""))</f>
        <v/>
      </c>
    </row>
    <row r="60" customFormat="false" ht="15" hidden="false" customHeight="false" outlineLevel="0" collapsed="false">
      <c r="E60" s="51"/>
      <c r="G60" s="51" t="str">
        <f aca="false">IF(E60="","",WORKDAY(E60,F60-1))</f>
        <v/>
      </c>
      <c r="I60" s="52"/>
      <c r="J60" s="52" t="str">
        <f aca="false">IF(E60="","",IF(AsOf&lt;E60,0,MIN(1,NETWORKDAYS(E60,AsOf)/F60)))</f>
        <v/>
      </c>
      <c r="K60" s="0" t="str">
        <f aca="false">IF(E60="","",IF(I60&gt;=1,"Complete",IF(AsOf&gt;G60,"Late",IF(AsOf&lt;E60,"Not Started",IF(J60-I60&gt;0.15,"At Risk","On Track")))))</f>
        <v/>
      </c>
      <c r="L60" s="53" t="n">
        <f aca="false">IF(K60="Late",NETWORKDAYS(G60,AsOf)-1,0)</f>
        <v>0</v>
      </c>
      <c r="N60" s="54" t="str">
        <f aca="false">IF(AND(H60="Y",I60&lt;1,G60&gt;=AsOf,G60&lt;=AsOf+60),G60+ROW()/10000,"")</f>
        <v/>
      </c>
      <c r="O60" s="54" t="str">
        <f aca="false">IF(AND(I60&gt;=1,G60&gt;AsOf-7,G60&lt;=AsOf),G60+ROW()/10000,"")</f>
        <v/>
      </c>
      <c r="P60" s="54" t="str">
        <f aca="false">IF(OR(K60="Late",K60="At Risk"),ROW(),"")</f>
        <v/>
      </c>
      <c r="AI60" s="0" t="str">
        <f aca="false">IF(OR(B60="",E60=""),"",IF(COUNTIFS($B$6:$B$60,B60,$E$6:$E$60,"&lt;"&amp;E60)=0,B60,""))</f>
        <v/>
      </c>
      <c r="AJ60" s="0" t="str">
        <f aca="false">IF(OR(B60="",G60=""),"",IF(COUNTIFS($B$6:$B$60,B60,$G$6:$G$60,"&gt;"&amp;G60)=0,B60,""))</f>
        <v/>
      </c>
    </row>
  </sheetData>
  <conditionalFormatting sqref="K6:K60">
    <cfRule type="cellIs" priority="2" operator="equal" aboveAverage="0" equalAverage="0" bottom="0" percent="0" rank="0" text="" dxfId="3">
      <formula>"Complete"</formula>
    </cfRule>
    <cfRule type="cellIs" priority="3" operator="equal" aboveAverage="0" equalAverage="0" bottom="0" percent="0" rank="0" text="" dxfId="3">
      <formula>"Done"</formula>
    </cfRule>
    <cfRule type="cellIs" priority="4" operator="equal" aboveAverage="0" equalAverage="0" bottom="0" percent="0" rank="0" text="" dxfId="3">
      <formula>"Closed"</formula>
    </cfRule>
    <cfRule type="cellIs" priority="5" operator="equal" aboveAverage="0" equalAverage="0" bottom="0" percent="0" rank="0" text="" dxfId="3">
      <formula>"Answered"</formula>
    </cfRule>
    <cfRule type="cellIs" priority="6" operator="equal" aboveAverage="0" equalAverage="0" bottom="0" percent="0" rank="0" text="" dxfId="4">
      <formula>"Approved"</formula>
    </cfRule>
    <cfRule type="cellIs" priority="7" operator="equal" aboveAverage="0" equalAverage="0" bottom="0" percent="0" rank="0" text="" dxfId="4">
      <formula>"On Track"</formula>
    </cfRule>
    <cfRule type="cellIs" priority="8" operator="equal" aboveAverage="0" equalAverage="0" bottom="0" percent="0" rank="0" text="" dxfId="4">
      <formula>"Green"</formula>
    </cfRule>
    <cfRule type="cellIs" priority="9" operator="equal" aboveAverage="0" equalAverage="0" bottom="0" percent="0" rank="0" text="" dxfId="4">
      <formula>"GO"</formula>
    </cfRule>
    <cfRule type="cellIs" priority="10" operator="equal" aboveAverage="0" equalAverage="0" bottom="0" percent="0" rank="0" text="" dxfId="4">
      <formula>"Low"</formula>
    </cfRule>
    <cfRule type="cellIs" priority="11" operator="equal" aboveAverage="0" equalAverage="0" bottom="0" percent="0" rank="0" text="" dxfId="5">
      <formula>"At Risk"</formula>
    </cfRule>
    <cfRule type="cellIs" priority="12" operator="equal" aboveAverage="0" equalAverage="0" bottom="0" percent="0" rank="0" text="" dxfId="5">
      <formula>"Amber"</formula>
    </cfRule>
    <cfRule type="cellIs" priority="13" operator="equal" aboveAverage="0" equalAverage="0" bottom="0" percent="0" rank="0" text="" dxfId="5">
      <formula>"Medium"</formula>
    </cfRule>
    <cfRule type="cellIs" priority="14" operator="equal" aboveAverage="0" equalAverage="0" bottom="0" percent="0" rank="0" text="" dxfId="5">
      <formula>"Pending"</formula>
    </cfRule>
    <cfRule type="cellIs" priority="15" operator="equal" aboveAverage="0" equalAverage="0" bottom="0" percent="0" rank="0" text="" dxfId="5">
      <formula>"Open"</formula>
    </cfRule>
    <cfRule type="cellIs" priority="16" operator="equal" aboveAverage="0" equalAverage="0" bottom="0" percent="0" rank="0" text="" dxfId="6">
      <formula>"Late"</formula>
    </cfRule>
    <cfRule type="cellIs" priority="17" operator="equal" aboveAverage="0" equalAverage="0" bottom="0" percent="0" rank="0" text="" dxfId="6">
      <formula>"Red"</formula>
    </cfRule>
    <cfRule type="cellIs" priority="18" operator="equal" aboveAverage="0" equalAverage="0" bottom="0" percent="0" rank="0" text="" dxfId="6">
      <formula>"High"</formula>
    </cfRule>
    <cfRule type="cellIs" priority="19" operator="equal" aboveAverage="0" equalAverage="0" bottom="0" percent="0" rank="0" text="" dxfId="6">
      <formula>"Overdue"</formula>
    </cfRule>
    <cfRule type="cellIs" priority="20" operator="equal" aboveAverage="0" equalAverage="0" bottom="0" percent="0" rank="0" text="" dxfId="6">
      <formula>"OVERDUE"</formula>
    </cfRule>
    <cfRule type="cellIs" priority="21" operator="equal" aboveAverage="0" equalAverage="0" bottom="0" percent="0" rank="0" text="" dxfId="6">
      <formula>"NO-GO"</formula>
    </cfRule>
    <cfRule type="cellIs" priority="22" operator="equal" aboveAverage="0" equalAverage="0" bottom="0" percent="0" rank="0" text="" dxfId="6">
      <formula>"Blocked"</formula>
    </cfRule>
  </conditionalFormatting>
  <conditionalFormatting sqref="Q6:AG60">
    <cfRule type="expression" priority="23" aboveAverage="0" equalAverage="0" bottom="0" percent="0" rank="0" text="" dxfId="10">
      <formula>AND(AND($E6&lt;&gt;"",Q$5&lt;=$G6,Q$5+6&gt;=$E6),$K6="Complete")</formula>
    </cfRule>
    <cfRule type="expression" priority="24" aboveAverage="0" equalAverage="0" bottom="0" percent="0" rank="0" text="" dxfId="11">
      <formula>AND(AND($E6&lt;&gt;"",Q$5&lt;=$G6,Q$5+6&gt;=$E6),$K6="Late")</formula>
    </cfRule>
    <cfRule type="expression" priority="25" aboveAverage="0" equalAverage="0" bottom="0" percent="0" rank="0" text="" dxfId="12">
      <formula>AND(AND($E6&lt;&gt;"",Q$5&lt;=$G6,Q$5+6&gt;=$E6),$K6="At Risk")</formula>
    </cfRule>
    <cfRule type="expression" priority="26" aboveAverage="0" equalAverage="0" bottom="0" percent="0" rank="0" text="" dxfId="13">
      <formula>AND(AND($E6&lt;&gt;"",Q$5&lt;=$G6,Q$5+6&gt;=$E6),$H6="Y")</formula>
    </cfRule>
    <cfRule type="expression" priority="27" aboveAverage="0" equalAverage="0" bottom="0" percent="0" rank="0" text="" dxfId="14">
      <formula>AND($E6&lt;&gt;"",Q$5&lt;=$G6,Q$5+6&gt;=$E6)</formula>
    </cfRule>
    <cfRule type="expression" priority="28" aboveAverage="0" equalAverage="0" bottom="0" percent="0" rank="0" text="" dxfId="15">
      <formula>AND($O$3&gt;=Q$5,$O$3&lt;Q$5+7)</formula>
    </cfRule>
  </conditionalFormatting>
  <dataValidations count="3">
    <dataValidation allowBlank="true" errorStyle="stop" operator="between" showDropDown="false" showErrorMessage="false" showInputMessage="false" sqref="B6:B60" type="list">
      <formula1>Lists!$A$5:$A$10</formula1>
      <formula2>0</formula2>
    </dataValidation>
    <dataValidation allowBlank="true" errorStyle="stop" operator="between" showDropDown="false" showErrorMessage="false" showInputMessage="false" sqref="D6:D60" type="list">
      <formula1>Lists!$B$5:$B$16</formula1>
      <formula2>0</formula2>
    </dataValidation>
    <dataValidation allowBlank="true" errorStyle="stop" operator="between" showDropDown="false" showErrorMessage="false" showInputMessage="false" sqref="H6:H60" type="list">
      <formula1>Lists!$G$5:$G$6</formula1>
      <formula2>0</formula2>
    </dataValidation>
  </dataValidations>
  <printOptions headings="false" gridLines="false" gridLinesSet="true" horizontalCentered="true" verticalCentered="false"/>
  <pageMargins left="0.4" right="0.4" top="0.5" bottom="0.5"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A7F8E"/>
    <pageSetUpPr fitToPage="true"/>
  </sheetPr>
  <dimension ref="A1:K1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6"/>
    <col collapsed="false" customWidth="true" hidden="false" outlineLevel="0" max="4" min="2" style="0" width="13"/>
    <col collapsed="false" customWidth="true" hidden="false" outlineLevel="0" max="5" min="5" style="0" width="14"/>
    <col collapsed="false" customWidth="true" hidden="false" outlineLevel="0" max="7" min="6" style="0" width="13"/>
    <col collapsed="false" customWidth="true" hidden="false" outlineLevel="0" max="9" min="8" style="0" width="14"/>
    <col collapsed="false" customWidth="true" hidden="false" outlineLevel="0" max="11" min="10" style="0" width="9"/>
  </cols>
  <sheetData>
    <row r="1" customFormat="false" ht="19.7" hidden="false" customHeight="false" outlineLevel="0" collapsed="false">
      <c r="A1" s="9" t="s">
        <v>206</v>
      </c>
    </row>
    <row r="2" customFormat="false" ht="15" hidden="false" customHeight="false" outlineLevel="0" collapsed="false">
      <c r="A2" s="2" t="s">
        <v>207</v>
      </c>
    </row>
    <row r="3" customFormat="false" ht="15" hidden="false" customHeight="false" outlineLevel="0" collapsed="false">
      <c r="A3" s="36"/>
      <c r="B3" s="37" t="s">
        <v>113</v>
      </c>
    </row>
    <row r="5" customFormat="false" ht="30" hidden="false" customHeight="true" outlineLevel="0" collapsed="false">
      <c r="A5" s="28" t="s">
        <v>208</v>
      </c>
      <c r="B5" s="28" t="s">
        <v>209</v>
      </c>
      <c r="C5" s="28" t="s">
        <v>210</v>
      </c>
      <c r="D5" s="28" t="s">
        <v>211</v>
      </c>
      <c r="E5" s="28" t="s">
        <v>212</v>
      </c>
      <c r="F5" s="28" t="s">
        <v>213</v>
      </c>
      <c r="G5" s="28" t="s">
        <v>214</v>
      </c>
      <c r="H5" s="28" t="s">
        <v>215</v>
      </c>
      <c r="I5" s="28" t="s">
        <v>216</v>
      </c>
      <c r="J5" s="28" t="s">
        <v>217</v>
      </c>
      <c r="K5" s="28" t="s">
        <v>84</v>
      </c>
    </row>
    <row r="6" customFormat="false" ht="15" hidden="false" customHeight="false" outlineLevel="0" collapsed="false">
      <c r="A6" s="23" t="s">
        <v>218</v>
      </c>
      <c r="B6" s="55" t="n">
        <v>38000</v>
      </c>
      <c r="C6" s="56" t="n">
        <f aca="false">SUMIFS(ChangeOrders!$E$6:$E$60,ChangeOrders!$D$6:$D$60,A6,ChangeOrders!$H$6:$H$60,"Approved")</f>
        <v>0</v>
      </c>
      <c r="D6" s="56" t="n">
        <f aca="false">B6+C6</f>
        <v>38000</v>
      </c>
      <c r="E6" s="55" t="n">
        <v>36500</v>
      </c>
      <c r="F6" s="55" t="n">
        <v>34200</v>
      </c>
      <c r="G6" s="55" t="n">
        <v>2300</v>
      </c>
      <c r="H6" s="56" t="n">
        <f aca="false">F6+G6</f>
        <v>36500</v>
      </c>
      <c r="I6" s="56" t="n">
        <f aca="false">D6-H6</f>
        <v>1500</v>
      </c>
      <c r="J6" s="47" t="n">
        <f aca="false">IF(D6=0,0,F6/D6)</f>
        <v>0.9</v>
      </c>
      <c r="K6" s="23" t="str">
        <f aca="false">IF(I6&lt;0,"Over",IF(H6&gt;0.95*D6,"Watch","OK"))</f>
        <v>Watch</v>
      </c>
    </row>
    <row r="7" customFormat="false" ht="15" hidden="false" customHeight="false" outlineLevel="0" collapsed="false">
      <c r="A7" s="23" t="s">
        <v>219</v>
      </c>
      <c r="B7" s="55" t="n">
        <v>265000</v>
      </c>
      <c r="C7" s="56" t="n">
        <f aca="false">SUMIFS(ChangeOrders!$E$6:$E$60,ChangeOrders!$D$6:$D$60,A7,ChangeOrders!$H$6:$H$60,"Approved")</f>
        <v>6800</v>
      </c>
      <c r="D7" s="56" t="n">
        <f aca="false">B7+C7</f>
        <v>271800</v>
      </c>
      <c r="E7" s="55" t="n">
        <v>262000</v>
      </c>
      <c r="F7" s="55" t="n">
        <v>58000</v>
      </c>
      <c r="G7" s="55" t="n">
        <v>214550</v>
      </c>
      <c r="H7" s="56" t="n">
        <f aca="false">F7+G7</f>
        <v>272550</v>
      </c>
      <c r="I7" s="56" t="n">
        <f aca="false">D7-H7</f>
        <v>-750</v>
      </c>
      <c r="J7" s="47" t="n">
        <f aca="false">IF(D7=0,0,F7/D7)</f>
        <v>0.213392200147167</v>
      </c>
      <c r="K7" s="23" t="str">
        <f aca="false">IF(I7&lt;0,"Over",IF(H7&gt;0.95*D7,"Watch","OK"))</f>
        <v>Over</v>
      </c>
    </row>
    <row r="8" customFormat="false" ht="15" hidden="false" customHeight="false" outlineLevel="0" collapsed="false">
      <c r="A8" s="23" t="s">
        <v>220</v>
      </c>
      <c r="B8" s="55" t="n">
        <v>42000</v>
      </c>
      <c r="C8" s="56" t="n">
        <f aca="false">SUMIFS(ChangeOrders!$E$6:$E$60,ChangeOrders!$D$6:$D$60,A8,ChangeOrders!$H$6:$H$60,"Approved")</f>
        <v>2400</v>
      </c>
      <c r="D8" s="56" t="n">
        <f aca="false">B8+C8</f>
        <v>44400</v>
      </c>
      <c r="E8" s="55" t="n">
        <v>41900</v>
      </c>
      <c r="F8" s="55" t="n">
        <v>0</v>
      </c>
      <c r="G8" s="55" t="n">
        <v>41900</v>
      </c>
      <c r="H8" s="56" t="n">
        <f aca="false">F8+G8</f>
        <v>41900</v>
      </c>
      <c r="I8" s="56" t="n">
        <f aca="false">D8-H8</f>
        <v>2500</v>
      </c>
      <c r="J8" s="47" t="n">
        <f aca="false">IF(D8=0,0,F8/D8)</f>
        <v>0</v>
      </c>
      <c r="K8" s="23" t="str">
        <f aca="false">IF(I8&lt;0,"Over",IF(H8&gt;0.95*D8,"Watch","OK"))</f>
        <v>OK</v>
      </c>
    </row>
    <row r="9" customFormat="false" ht="15" hidden="false" customHeight="false" outlineLevel="0" collapsed="false">
      <c r="A9" s="23" t="s">
        <v>221</v>
      </c>
      <c r="B9" s="55" t="n">
        <v>36000</v>
      </c>
      <c r="C9" s="56" t="n">
        <f aca="false">SUMIFS(ChangeOrders!$E$6:$E$60,ChangeOrders!$D$6:$D$60,A9,ChangeOrders!$H$6:$H$60,"Approved")</f>
        <v>0</v>
      </c>
      <c r="D9" s="56" t="n">
        <f aca="false">B9+C9</f>
        <v>36000</v>
      </c>
      <c r="E9" s="55" t="n">
        <v>12400</v>
      </c>
      <c r="F9" s="55" t="n">
        <v>4100</v>
      </c>
      <c r="G9" s="55" t="n">
        <v>30500</v>
      </c>
      <c r="H9" s="56" t="n">
        <f aca="false">F9+G9</f>
        <v>34600</v>
      </c>
      <c r="I9" s="56" t="n">
        <f aca="false">D9-H9</f>
        <v>1400</v>
      </c>
      <c r="J9" s="47" t="n">
        <f aca="false">IF(D9=0,0,F9/D9)</f>
        <v>0.113888888888889</v>
      </c>
      <c r="K9" s="23" t="str">
        <f aca="false">IF(I9&lt;0,"Over",IF(H9&gt;0.95*D9,"Watch","OK"))</f>
        <v>Watch</v>
      </c>
    </row>
    <row r="10" customFormat="false" ht="15" hidden="false" customHeight="false" outlineLevel="0" collapsed="false">
      <c r="A10" s="23" t="s">
        <v>222</v>
      </c>
      <c r="B10" s="55" t="n">
        <v>18000</v>
      </c>
      <c r="C10" s="56" t="n">
        <f aca="false">SUMIFS(ChangeOrders!$E$6:$E$60,ChangeOrders!$D$6:$D$60,A10,ChangeOrders!$H$6:$H$60,"Approved")</f>
        <v>0</v>
      </c>
      <c r="D10" s="56" t="n">
        <f aca="false">B10+C10</f>
        <v>18000</v>
      </c>
      <c r="E10" s="55" t="n">
        <v>0</v>
      </c>
      <c r="F10" s="55" t="n">
        <v>0</v>
      </c>
      <c r="G10" s="55" t="n">
        <v>18000</v>
      </c>
      <c r="H10" s="56" t="n">
        <f aca="false">F10+G10</f>
        <v>18000</v>
      </c>
      <c r="I10" s="56" t="n">
        <f aca="false">D10-H10</f>
        <v>0</v>
      </c>
      <c r="J10" s="47" t="n">
        <f aca="false">IF(D10=0,0,F10/D10)</f>
        <v>0</v>
      </c>
      <c r="K10" s="23" t="str">
        <f aca="false">IF(I10&lt;0,"Over",IF(H10&gt;0.95*D10,"Watch","OK"))</f>
        <v>Watch</v>
      </c>
    </row>
    <row r="11" customFormat="false" ht="15" hidden="false" customHeight="false" outlineLevel="0" collapsed="false">
      <c r="A11" s="23" t="s">
        <v>223</v>
      </c>
      <c r="B11" s="55" t="n">
        <v>72000</v>
      </c>
      <c r="C11" s="56" t="n">
        <f aca="false">SUMIFS(ChangeOrders!$E$6:$E$60,ChangeOrders!$D$6:$D$60,A11,ChangeOrders!$H$6:$H$60,"Approved")</f>
        <v>0</v>
      </c>
      <c r="D11" s="56" t="n">
        <f aca="false">B11+C11</f>
        <v>72000</v>
      </c>
      <c r="E11" s="55" t="n">
        <v>0</v>
      </c>
      <c r="F11" s="55" t="n">
        <v>0</v>
      </c>
      <c r="G11" s="55" t="n">
        <v>74800</v>
      </c>
      <c r="H11" s="56" t="n">
        <f aca="false">F11+G11</f>
        <v>74800</v>
      </c>
      <c r="I11" s="56" t="n">
        <f aca="false">D11-H11</f>
        <v>-2800</v>
      </c>
      <c r="J11" s="47" t="n">
        <f aca="false">IF(D11=0,0,F11/D11)</f>
        <v>0</v>
      </c>
      <c r="K11" s="23" t="str">
        <f aca="false">IF(I11&lt;0,"Over",IF(H11&gt;0.95*D11,"Watch","OK"))</f>
        <v>Over</v>
      </c>
    </row>
    <row r="12" customFormat="false" ht="15" hidden="false" customHeight="false" outlineLevel="0" collapsed="false">
      <c r="A12" s="23" t="s">
        <v>224</v>
      </c>
      <c r="B12" s="55" t="n">
        <v>14000</v>
      </c>
      <c r="C12" s="56" t="n">
        <f aca="false">SUMIFS(ChangeOrders!$E$6:$E$60,ChangeOrders!$D$6:$D$60,A12,ChangeOrders!$H$6:$H$60,"Approved")</f>
        <v>0</v>
      </c>
      <c r="D12" s="56" t="n">
        <f aca="false">B12+C12</f>
        <v>14000</v>
      </c>
      <c r="E12" s="55" t="n">
        <v>0</v>
      </c>
      <c r="F12" s="55" t="n">
        <v>0</v>
      </c>
      <c r="G12" s="55" t="n">
        <v>16200</v>
      </c>
      <c r="H12" s="56" t="n">
        <f aca="false">F12+G12</f>
        <v>16200</v>
      </c>
      <c r="I12" s="56" t="n">
        <f aca="false">D12-H12</f>
        <v>-2200</v>
      </c>
      <c r="J12" s="47" t="n">
        <f aca="false">IF(D12=0,0,F12/D12)</f>
        <v>0</v>
      </c>
      <c r="K12" s="23" t="str">
        <f aca="false">IF(I12&lt;0,"Over",IF(H12&gt;0.95*D12,"Watch","OK"))</f>
        <v>Over</v>
      </c>
    </row>
    <row r="13" customFormat="false" ht="15" hidden="false" customHeight="false" outlineLevel="0" collapsed="false">
      <c r="A13" s="23" t="s">
        <v>225</v>
      </c>
      <c r="B13" s="55" t="n">
        <v>30000</v>
      </c>
      <c r="C13" s="56" t="n">
        <f aca="false">-SUMIFS(ChangeOrders!$E$6:$E$60,ChangeOrders!$H$6:$H$60,"Approved")</f>
        <v>-9200</v>
      </c>
      <c r="D13" s="56" t="n">
        <f aca="false">B13+C13</f>
        <v>20800</v>
      </c>
      <c r="E13" s="55" t="n">
        <v>0</v>
      </c>
      <c r="F13" s="55" t="n">
        <v>0</v>
      </c>
      <c r="G13" s="57" t="n">
        <f aca="false">SUMIFS(ChangeOrders!$E$6:$E$60,ChangeOrders!$H$6:$H$60,"Pending")</f>
        <v>7850</v>
      </c>
      <c r="H13" s="56" t="n">
        <f aca="false">F13+G13</f>
        <v>7850</v>
      </c>
      <c r="I13" s="56" t="n">
        <f aca="false">D13-H13</f>
        <v>12950</v>
      </c>
      <c r="J13" s="47" t="n">
        <f aca="false">IF(D13=0,0,F13/D13)</f>
        <v>0</v>
      </c>
      <c r="K13" s="23" t="str">
        <f aca="false">IF(I13&lt;0,"Over",IF(H13&gt;0.95*D13,"Watch","OK"))</f>
        <v>OK</v>
      </c>
    </row>
    <row r="14" customFormat="false" ht="15" hidden="false" customHeight="false" outlineLevel="0" collapsed="false">
      <c r="A14" s="58" t="s">
        <v>226</v>
      </c>
      <c r="B14" s="59" t="n">
        <f aca="false">SUM(B6:B13)</f>
        <v>515000</v>
      </c>
      <c r="C14" s="59" t="n">
        <f aca="false">SUM(C6:C13)</f>
        <v>0</v>
      </c>
      <c r="D14" s="59" t="n">
        <f aca="false">SUM(D6:D13)</f>
        <v>515000</v>
      </c>
      <c r="E14" s="59" t="n">
        <f aca="false">SUM(E6:E13)</f>
        <v>352800</v>
      </c>
      <c r="F14" s="59" t="n">
        <f aca="false">SUM(F6:F13)</f>
        <v>96300</v>
      </c>
      <c r="G14" s="59" t="n">
        <f aca="false">SUM(G6:G13)</f>
        <v>406100</v>
      </c>
      <c r="H14" s="59" t="n">
        <f aca="false">SUM(H6:H13)</f>
        <v>502400</v>
      </c>
      <c r="I14" s="59" t="n">
        <f aca="false">SUM(I6:I13)</f>
        <v>12600</v>
      </c>
      <c r="J14" s="60" t="n">
        <f aca="false">IF(D14=0,0,F14/D14)</f>
        <v>0.186990291262136</v>
      </c>
      <c r="K14" s="58" t="str">
        <f aca="false">IF(I14&lt;0,"Over",IF(H14&gt;0.95*D14,"Watch","OK"))</f>
        <v>Watch</v>
      </c>
    </row>
  </sheetData>
  <conditionalFormatting sqref="K6:K14">
    <cfRule type="cellIs" priority="2" operator="equal" aboveAverage="0" equalAverage="0" bottom="0" percent="0" rank="0" text="" dxfId="6">
      <formula>"Over"</formula>
    </cfRule>
    <cfRule type="cellIs" priority="3" operator="equal" aboveAverage="0" equalAverage="0" bottom="0" percent="0" rank="0" text="" dxfId="5">
      <formula>"Watch"</formula>
    </cfRule>
    <cfRule type="cellIs" priority="4" operator="equal" aboveAverage="0" equalAverage="0" bottom="0" percent="0" rank="0" text="" dxfId="4">
      <formula>"OK"</formula>
    </cfRule>
  </conditionalFormatting>
  <printOptions headings="false" gridLines="false" gridLinesSet="true" horizontalCentered="true" verticalCentered="false"/>
  <pageMargins left="0.4" right="0.4" top="0.5" bottom="0.5"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A7F8E"/>
    <pageSetUpPr fitToPage="true"/>
  </sheetPr>
  <dimension ref="A1:L1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8"/>
    <col collapsed="false" customWidth="true" hidden="false" outlineLevel="0" max="2" min="2" style="0" width="44"/>
    <col collapsed="false" customWidth="true" hidden="false" outlineLevel="0" max="3" min="3" style="0" width="18"/>
    <col collapsed="false" customWidth="true" hidden="false" outlineLevel="0" max="4" min="4" style="0" width="22"/>
    <col collapsed="false" customWidth="true" hidden="false" outlineLevel="0" max="5" min="5" style="0" width="12"/>
    <col collapsed="false" customWidth="true" hidden="false" outlineLevel="0" max="8" min="6" style="0" width="11"/>
    <col collapsed="false" customWidth="true" hidden="false" outlineLevel="0" max="9" min="9" style="0" width="28"/>
    <col collapsed="false" customWidth="true" hidden="false" outlineLevel="0" max="10" min="10" style="0" width="3"/>
    <col collapsed="false" customWidth="true" hidden="false" outlineLevel="0" max="12" min="11" style="0" width="12"/>
  </cols>
  <sheetData>
    <row r="1" customFormat="false" ht="19.7" hidden="false" customHeight="false" outlineLevel="0" collapsed="false">
      <c r="A1" s="9" t="s">
        <v>227</v>
      </c>
    </row>
    <row r="2" customFormat="false" ht="15" hidden="false" customHeight="false" outlineLevel="0" collapsed="false">
      <c r="A2" s="2" t="s">
        <v>228</v>
      </c>
    </row>
    <row r="3" customFormat="false" ht="15" hidden="false" customHeight="false" outlineLevel="0" collapsed="false">
      <c r="A3" s="36"/>
      <c r="B3" s="37" t="s">
        <v>113</v>
      </c>
    </row>
    <row r="5" customFormat="false" ht="30" hidden="false" customHeight="true" outlineLevel="0" collapsed="false">
      <c r="A5" s="28" t="s">
        <v>229</v>
      </c>
      <c r="B5" s="28" t="s">
        <v>96</v>
      </c>
      <c r="C5" s="28" t="s">
        <v>230</v>
      </c>
      <c r="D5" s="28" t="s">
        <v>231</v>
      </c>
      <c r="E5" s="28" t="s">
        <v>232</v>
      </c>
      <c r="F5" s="28" t="s">
        <v>233</v>
      </c>
      <c r="G5" s="28" t="s">
        <v>234</v>
      </c>
      <c r="H5" s="28" t="s">
        <v>84</v>
      </c>
      <c r="I5" s="28" t="s">
        <v>235</v>
      </c>
      <c r="K5" s="61" t="s">
        <v>236</v>
      </c>
      <c r="L5" s="62"/>
    </row>
    <row r="6" customFormat="false" ht="15" hidden="false" customHeight="false" outlineLevel="0" collapsed="false">
      <c r="A6" s="42" t="s">
        <v>237</v>
      </c>
      <c r="B6" s="43" t="s">
        <v>238</v>
      </c>
      <c r="C6" s="42" t="s">
        <v>131</v>
      </c>
      <c r="D6" s="42" t="s">
        <v>220</v>
      </c>
      <c r="E6" s="63" t="n">
        <v>2400</v>
      </c>
      <c r="F6" s="42" t="n">
        <v>0</v>
      </c>
      <c r="G6" s="44" t="n">
        <v>46297</v>
      </c>
      <c r="H6" s="42" t="s">
        <v>239</v>
      </c>
      <c r="I6" s="43" t="s">
        <v>240</v>
      </c>
      <c r="K6" s="64" t="s">
        <v>239</v>
      </c>
      <c r="L6" s="65" t="n">
        <f aca="false">SUMIFS(E6:E60,H6:H60,"Approved")</f>
        <v>9200</v>
      </c>
    </row>
    <row r="7" customFormat="false" ht="23.85" hidden="false" customHeight="false" outlineLevel="0" collapsed="false">
      <c r="A7" s="42" t="s">
        <v>241</v>
      </c>
      <c r="B7" s="43" t="s">
        <v>242</v>
      </c>
      <c r="C7" s="42" t="s">
        <v>141</v>
      </c>
      <c r="D7" s="42" t="s">
        <v>219</v>
      </c>
      <c r="E7" s="63" t="n">
        <v>6800</v>
      </c>
      <c r="F7" s="42" t="n">
        <v>3</v>
      </c>
      <c r="G7" s="44" t="n">
        <v>46294</v>
      </c>
      <c r="H7" s="42" t="s">
        <v>239</v>
      </c>
      <c r="I7" s="43" t="s">
        <v>243</v>
      </c>
      <c r="K7" s="64" t="s">
        <v>244</v>
      </c>
      <c r="L7" s="65" t="n">
        <f aca="false">SUMIFS(E6:E60,H6:H60,"Pending")</f>
        <v>7850</v>
      </c>
    </row>
    <row r="8" customFormat="false" ht="15" hidden="false" customHeight="false" outlineLevel="0" collapsed="false">
      <c r="A8" s="42" t="s">
        <v>245</v>
      </c>
      <c r="B8" s="43" t="s">
        <v>246</v>
      </c>
      <c r="C8" s="42" t="s">
        <v>172</v>
      </c>
      <c r="D8" s="42" t="s">
        <v>222</v>
      </c>
      <c r="E8" s="63" t="n">
        <v>3100</v>
      </c>
      <c r="F8" s="42" t="n">
        <v>0</v>
      </c>
      <c r="G8" s="44" t="n">
        <v>46304</v>
      </c>
      <c r="H8" s="42" t="s">
        <v>244</v>
      </c>
      <c r="I8" s="43" t="s">
        <v>247</v>
      </c>
      <c r="K8" s="64" t="s">
        <v>248</v>
      </c>
      <c r="L8" s="65" t="n">
        <f aca="false">SUMIFS(E6:E60,H6:H60,"Rejected")</f>
        <v>2900</v>
      </c>
    </row>
    <row r="9" customFormat="false" ht="15" hidden="false" customHeight="false" outlineLevel="0" collapsed="false">
      <c r="A9" s="42" t="s">
        <v>249</v>
      </c>
      <c r="B9" s="43" t="s">
        <v>250</v>
      </c>
      <c r="C9" s="42" t="s">
        <v>149</v>
      </c>
      <c r="D9" s="42" t="s">
        <v>219</v>
      </c>
      <c r="E9" s="63" t="n">
        <v>4750</v>
      </c>
      <c r="F9" s="42" t="n">
        <v>2</v>
      </c>
      <c r="G9" s="44" t="n">
        <v>46310</v>
      </c>
      <c r="H9" s="42" t="s">
        <v>244</v>
      </c>
      <c r="I9" s="43" t="s">
        <v>251</v>
      </c>
    </row>
    <row r="10" customFormat="false" ht="15" hidden="false" customHeight="false" outlineLevel="0" collapsed="false">
      <c r="A10" s="42" t="s">
        <v>252</v>
      </c>
      <c r="B10" s="43" t="s">
        <v>253</v>
      </c>
      <c r="C10" s="42" t="s">
        <v>146</v>
      </c>
      <c r="D10" s="42" t="s">
        <v>223</v>
      </c>
      <c r="E10" s="63" t="n">
        <v>2900</v>
      </c>
      <c r="F10" s="42" t="n">
        <v>0</v>
      </c>
      <c r="G10" s="44" t="n">
        <v>46301</v>
      </c>
      <c r="H10" s="42" t="s">
        <v>248</v>
      </c>
      <c r="I10" s="43" t="s">
        <v>254</v>
      </c>
    </row>
  </sheetData>
  <conditionalFormatting sqref="H6:H60">
    <cfRule type="cellIs" priority="2" operator="equal" aboveAverage="0" equalAverage="0" bottom="0" percent="0" rank="0" text="" dxfId="3">
      <formula>"Complete"</formula>
    </cfRule>
    <cfRule type="cellIs" priority="3" operator="equal" aboveAverage="0" equalAverage="0" bottom="0" percent="0" rank="0" text="" dxfId="3">
      <formula>"Done"</formula>
    </cfRule>
    <cfRule type="cellIs" priority="4" operator="equal" aboveAverage="0" equalAverage="0" bottom="0" percent="0" rank="0" text="" dxfId="3">
      <formula>"Closed"</formula>
    </cfRule>
    <cfRule type="cellIs" priority="5" operator="equal" aboveAverage="0" equalAverage="0" bottom="0" percent="0" rank="0" text="" dxfId="3">
      <formula>"Answered"</formula>
    </cfRule>
    <cfRule type="cellIs" priority="6" operator="equal" aboveAverage="0" equalAverage="0" bottom="0" percent="0" rank="0" text="" dxfId="4">
      <formula>"Approved"</formula>
    </cfRule>
    <cfRule type="cellIs" priority="7" operator="equal" aboveAverage="0" equalAverage="0" bottom="0" percent="0" rank="0" text="" dxfId="4">
      <formula>"On Track"</formula>
    </cfRule>
    <cfRule type="cellIs" priority="8" operator="equal" aboveAverage="0" equalAverage="0" bottom="0" percent="0" rank="0" text="" dxfId="4">
      <formula>"Green"</formula>
    </cfRule>
    <cfRule type="cellIs" priority="9" operator="equal" aboveAverage="0" equalAverage="0" bottom="0" percent="0" rank="0" text="" dxfId="4">
      <formula>"GO"</formula>
    </cfRule>
    <cfRule type="cellIs" priority="10" operator="equal" aboveAverage="0" equalAverage="0" bottom="0" percent="0" rank="0" text="" dxfId="4">
      <formula>"Low"</formula>
    </cfRule>
    <cfRule type="cellIs" priority="11" operator="equal" aboveAverage="0" equalAverage="0" bottom="0" percent="0" rank="0" text="" dxfId="5">
      <formula>"At Risk"</formula>
    </cfRule>
    <cfRule type="cellIs" priority="12" operator="equal" aboveAverage="0" equalAverage="0" bottom="0" percent="0" rank="0" text="" dxfId="5">
      <formula>"Amber"</formula>
    </cfRule>
    <cfRule type="cellIs" priority="13" operator="equal" aboveAverage="0" equalAverage="0" bottom="0" percent="0" rank="0" text="" dxfId="5">
      <formula>"Medium"</formula>
    </cfRule>
    <cfRule type="cellIs" priority="14" operator="equal" aboveAverage="0" equalAverage="0" bottom="0" percent="0" rank="0" text="" dxfId="5">
      <formula>"Pending"</formula>
    </cfRule>
    <cfRule type="cellIs" priority="15" operator="equal" aboveAverage="0" equalAverage="0" bottom="0" percent="0" rank="0" text="" dxfId="5">
      <formula>"Open"</formula>
    </cfRule>
    <cfRule type="cellIs" priority="16" operator="equal" aboveAverage="0" equalAverage="0" bottom="0" percent="0" rank="0" text="" dxfId="6">
      <formula>"Late"</formula>
    </cfRule>
    <cfRule type="cellIs" priority="17" operator="equal" aboveAverage="0" equalAverage="0" bottom="0" percent="0" rank="0" text="" dxfId="6">
      <formula>"Red"</formula>
    </cfRule>
    <cfRule type="cellIs" priority="18" operator="equal" aboveAverage="0" equalAverage="0" bottom="0" percent="0" rank="0" text="" dxfId="6">
      <formula>"High"</formula>
    </cfRule>
    <cfRule type="cellIs" priority="19" operator="equal" aboveAverage="0" equalAverage="0" bottom="0" percent="0" rank="0" text="" dxfId="6">
      <formula>"Overdue"</formula>
    </cfRule>
    <cfRule type="cellIs" priority="20" operator="equal" aboveAverage="0" equalAverage="0" bottom="0" percent="0" rank="0" text="" dxfId="6">
      <formula>"OVERDUE"</formula>
    </cfRule>
    <cfRule type="cellIs" priority="21" operator="equal" aboveAverage="0" equalAverage="0" bottom="0" percent="0" rank="0" text="" dxfId="6">
      <formula>"NO-GO"</formula>
    </cfRule>
    <cfRule type="cellIs" priority="22" operator="equal" aboveAverage="0" equalAverage="0" bottom="0" percent="0" rank="0" text="" dxfId="6">
      <formula>"Blocked"</formula>
    </cfRule>
    <cfRule type="cellIs" priority="23" operator="equal" aboveAverage="0" equalAverage="0" bottom="0" percent="0" rank="0" text="" dxfId="16">
      <formula>"Rejected"</formula>
    </cfRule>
  </conditionalFormatting>
  <dataValidations count="3">
    <dataValidation allowBlank="true" errorStyle="stop" operator="between" showDropDown="false" showErrorMessage="false" showInputMessage="false" sqref="H6:H60" type="list">
      <formula1>Lists!$E$5:$E$7</formula1>
      <formula2>0</formula2>
    </dataValidation>
    <dataValidation allowBlank="true" errorStyle="stop" operator="between" showDropDown="false" showErrorMessage="false" showInputMessage="false" sqref="D6:D60" type="list">
      <formula1>Lists!$I$5:$I$12</formula1>
      <formula2>0</formula2>
    </dataValidation>
    <dataValidation allowBlank="true" errorStyle="stop" operator="between" showDropDown="false" showErrorMessage="false" showInputMessage="false" sqref="C6:C60" type="list">
      <formula1>Lists!$B$5:$B$16</formula1>
      <formula2>0</formula2>
    </dataValidation>
  </dataValidations>
  <printOptions headings="false" gridLines="false" gridLinesSet="true" horizontalCentered="true" verticalCentered="false"/>
  <pageMargins left="0.4" right="0.4" top="0.5" bottom="0.5"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A7F8E"/>
    <pageSetUpPr fitToPage="true"/>
  </sheetPr>
  <dimension ref="A1:K6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9"/>
    <col collapsed="false" customWidth="true" hidden="false" outlineLevel="0" max="2" min="2" style="0" width="10"/>
    <col collapsed="false" customWidth="true" hidden="false" outlineLevel="0" max="3" min="3" style="0" width="44"/>
    <col collapsed="false" customWidth="true" hidden="false" outlineLevel="0" max="4" min="4" style="0" width="18"/>
    <col collapsed="false" customWidth="true" hidden="false" outlineLevel="0" max="5" min="5" style="0" width="9"/>
    <col collapsed="false" customWidth="true" hidden="false" outlineLevel="0" max="6" min="6" style="0" width="11"/>
    <col collapsed="false" customWidth="true" hidden="false" outlineLevel="0" max="7" min="7" style="0" width="9"/>
    <col collapsed="false" customWidth="true" hidden="false" outlineLevel="0" max="8" min="8" style="0" width="10"/>
    <col collapsed="false" customWidth="true" hidden="false" outlineLevel="0" max="10" min="9" style="0" width="11"/>
    <col collapsed="false" customWidth="true" hidden="false" outlineLevel="0" max="11" min="11" style="0" width="26"/>
  </cols>
  <sheetData>
    <row r="1" customFormat="false" ht="19.7" hidden="false" customHeight="false" outlineLevel="0" collapsed="false">
      <c r="A1" s="9" t="s">
        <v>255</v>
      </c>
    </row>
    <row r="2" customFormat="false" ht="15" hidden="false" customHeight="false" outlineLevel="0" collapsed="false">
      <c r="A2" s="2" t="s">
        <v>256</v>
      </c>
    </row>
    <row r="3" customFormat="false" ht="15" hidden="false" customHeight="false" outlineLevel="0" collapsed="false">
      <c r="A3" s="36"/>
      <c r="B3" s="37" t="s">
        <v>113</v>
      </c>
    </row>
    <row r="5" customFormat="false" ht="30" hidden="false" customHeight="true" outlineLevel="0" collapsed="false">
      <c r="A5" s="28" t="s">
        <v>257</v>
      </c>
      <c r="B5" s="28" t="s">
        <v>258</v>
      </c>
      <c r="C5" s="28" t="s">
        <v>259</v>
      </c>
      <c r="D5" s="28" t="s">
        <v>260</v>
      </c>
      <c r="E5" s="28" t="s">
        <v>261</v>
      </c>
      <c r="F5" s="28" t="s">
        <v>262</v>
      </c>
      <c r="G5" s="28" t="s">
        <v>263</v>
      </c>
      <c r="H5" s="28" t="s">
        <v>264</v>
      </c>
      <c r="I5" s="28" t="s">
        <v>84</v>
      </c>
      <c r="J5" s="28" t="s">
        <v>265</v>
      </c>
      <c r="K5" s="28" t="s">
        <v>121</v>
      </c>
    </row>
    <row r="6" customFormat="false" ht="15" hidden="false" customHeight="false" outlineLevel="0" collapsed="false">
      <c r="A6" s="42" t="s">
        <v>266</v>
      </c>
      <c r="B6" s="42" t="s">
        <v>267</v>
      </c>
      <c r="C6" s="43" t="s">
        <v>268</v>
      </c>
      <c r="D6" s="42" t="s">
        <v>141</v>
      </c>
      <c r="E6" s="44" t="n">
        <v>46287</v>
      </c>
      <c r="F6" s="45" t="n">
        <v>5</v>
      </c>
      <c r="G6" s="30" t="n">
        <f aca="false">IF(E6="","",WORKDAY(E6,F6))</f>
        <v>46294</v>
      </c>
      <c r="H6" s="44" t="n">
        <v>46290</v>
      </c>
      <c r="I6" s="23" t="str">
        <f aca="false">IF(E6="","",IF(H6&lt;&gt;"","Answered",IF(AsOf&gt;G6,"Overdue","Open")))</f>
        <v>Answered</v>
      </c>
      <c r="J6" s="25" t="n">
        <f aca="false">IF(E6="","",IF(H6&lt;&gt;"",NETWORKDAYS(E6,H6)-1,NETWORKDAYS(E6,AsOf)-1))</f>
        <v>3</v>
      </c>
      <c r="K6" s="43"/>
    </row>
    <row r="7" customFormat="false" ht="15" hidden="false" customHeight="false" outlineLevel="0" collapsed="false">
      <c r="A7" s="42" t="s">
        <v>269</v>
      </c>
      <c r="B7" s="42" t="s">
        <v>267</v>
      </c>
      <c r="C7" s="43" t="s">
        <v>270</v>
      </c>
      <c r="D7" s="42" t="s">
        <v>141</v>
      </c>
      <c r="E7" s="44" t="n">
        <v>46293</v>
      </c>
      <c r="F7" s="45" t="n">
        <v>5</v>
      </c>
      <c r="G7" s="30" t="n">
        <f aca="false">IF(E7="","",WORKDAY(E7,F7))</f>
        <v>46300</v>
      </c>
      <c r="H7" s="44" t="n">
        <v>46296</v>
      </c>
      <c r="I7" s="23" t="str">
        <f aca="false">IF(E7="","",IF(H7&lt;&gt;"","Answered",IF(AsOf&gt;G7,"Overdue","Open")))</f>
        <v>Answered</v>
      </c>
      <c r="J7" s="25" t="n">
        <f aca="false">IF(E7="","",IF(H7&lt;&gt;"",NETWORKDAYS(E7,H7)-1,NETWORKDAYS(E7,AsOf)-1))</f>
        <v>3</v>
      </c>
      <c r="K7" s="43" t="s">
        <v>271</v>
      </c>
    </row>
    <row r="8" customFormat="false" ht="15" hidden="false" customHeight="false" outlineLevel="0" collapsed="false">
      <c r="A8" s="42" t="s">
        <v>272</v>
      </c>
      <c r="B8" s="42" t="s">
        <v>267</v>
      </c>
      <c r="C8" s="43" t="s">
        <v>273</v>
      </c>
      <c r="D8" s="42" t="s">
        <v>141</v>
      </c>
      <c r="E8" s="44" t="n">
        <v>46303</v>
      </c>
      <c r="F8" s="45" t="n">
        <v>3</v>
      </c>
      <c r="G8" s="30" t="n">
        <f aca="false">IF(E8="","",WORKDAY(E8,F8))</f>
        <v>46308</v>
      </c>
      <c r="H8" s="44"/>
      <c r="I8" s="23" t="str">
        <f aca="false">IF(E8="","",IF(H8&lt;&gt;"","Answered",IF(AsOf&gt;G8,"Overdue","Open")))</f>
        <v>Overdue</v>
      </c>
      <c r="J8" s="25" t="n">
        <f aca="false">IF(E8="","",IF(H8&lt;&gt;"",NETWORKDAYS(E8,H8)-1,NETWORKDAYS(E8,AsOf)-1))</f>
        <v>6</v>
      </c>
      <c r="K8" s="43" t="s">
        <v>274</v>
      </c>
    </row>
    <row r="9" customFormat="false" ht="15" hidden="false" customHeight="false" outlineLevel="0" collapsed="false">
      <c r="A9" s="42" t="s">
        <v>275</v>
      </c>
      <c r="B9" s="42" t="s">
        <v>267</v>
      </c>
      <c r="C9" s="43" t="s">
        <v>276</v>
      </c>
      <c r="D9" s="42" t="s">
        <v>149</v>
      </c>
      <c r="E9" s="44" t="n">
        <v>46309</v>
      </c>
      <c r="F9" s="45" t="n">
        <v>5</v>
      </c>
      <c r="G9" s="30" t="n">
        <f aca="false">IF(E9="","",WORKDAY(E9,F9))</f>
        <v>46316</v>
      </c>
      <c r="H9" s="44"/>
      <c r="I9" s="23" t="str">
        <f aca="false">IF(E9="","",IF(H9&lt;&gt;"","Answered",IF(AsOf&gt;G9,"Overdue","Open")))</f>
        <v>Open</v>
      </c>
      <c r="J9" s="25" t="n">
        <f aca="false">IF(E9="","",IF(H9&lt;&gt;"",NETWORKDAYS(E9,H9)-1,NETWORKDAYS(E9,AsOf)-1))</f>
        <v>2</v>
      </c>
      <c r="K9" s="43"/>
    </row>
    <row r="10" customFormat="false" ht="15" hidden="false" customHeight="false" outlineLevel="0" collapsed="false">
      <c r="A10" s="42" t="s">
        <v>277</v>
      </c>
      <c r="B10" s="42" t="s">
        <v>278</v>
      </c>
      <c r="C10" s="43" t="s">
        <v>279</v>
      </c>
      <c r="D10" s="42" t="s">
        <v>141</v>
      </c>
      <c r="E10" s="44" t="n">
        <v>46300</v>
      </c>
      <c r="F10" s="45" t="n">
        <v>10</v>
      </c>
      <c r="G10" s="30" t="n">
        <f aca="false">IF(E10="","",WORKDAY(E10,F10))</f>
        <v>46314</v>
      </c>
      <c r="H10" s="44" t="n">
        <v>46308</v>
      </c>
      <c r="I10" s="23" t="str">
        <f aca="false">IF(E10="","",IF(H10&lt;&gt;"","Answered",IF(AsOf&gt;G10,"Overdue","Open")))</f>
        <v>Answered</v>
      </c>
      <c r="J10" s="25" t="n">
        <f aca="false">IF(E10="","",IF(H10&lt;&gt;"",NETWORKDAYS(E10,H10)-1,NETWORKDAYS(E10,AsOf)-1))</f>
        <v>6</v>
      </c>
      <c r="K10" s="43" t="s">
        <v>280</v>
      </c>
    </row>
    <row r="11" customFormat="false" ht="15" hidden="false" customHeight="false" outlineLevel="0" collapsed="false">
      <c r="A11" s="42" t="s">
        <v>281</v>
      </c>
      <c r="B11" s="42" t="s">
        <v>278</v>
      </c>
      <c r="C11" s="43" t="s">
        <v>282</v>
      </c>
      <c r="D11" s="42" t="s">
        <v>141</v>
      </c>
      <c r="E11" s="44" t="n">
        <v>46304</v>
      </c>
      <c r="F11" s="45" t="n">
        <v>10</v>
      </c>
      <c r="G11" s="30" t="n">
        <f aca="false">IF(E11="","",WORKDAY(E11,F11))</f>
        <v>46318</v>
      </c>
      <c r="H11" s="44"/>
      <c r="I11" s="23" t="str">
        <f aca="false">IF(E11="","",IF(H11&lt;&gt;"","Answered",IF(AsOf&gt;G11,"Overdue","Open")))</f>
        <v>Open</v>
      </c>
      <c r="J11" s="25" t="n">
        <f aca="false">IF(E11="","",IF(H11&lt;&gt;"",NETWORKDAYS(E11,H11)-1,NETWORKDAYS(E11,AsOf)-1))</f>
        <v>5</v>
      </c>
      <c r="K11" s="43"/>
    </row>
    <row r="12" customFormat="false" ht="15" hidden="false" customHeight="false" outlineLevel="0" collapsed="false">
      <c r="A12" s="42" t="s">
        <v>283</v>
      </c>
      <c r="B12" s="42" t="s">
        <v>278</v>
      </c>
      <c r="C12" s="43" t="s">
        <v>284</v>
      </c>
      <c r="D12" s="42" t="s">
        <v>172</v>
      </c>
      <c r="E12" s="44" t="n">
        <v>46307</v>
      </c>
      <c r="F12" s="45" t="n">
        <v>10</v>
      </c>
      <c r="G12" s="30" t="n">
        <f aca="false">IF(E12="","",WORKDAY(E12,F12))</f>
        <v>46321</v>
      </c>
      <c r="H12" s="44"/>
      <c r="I12" s="23" t="str">
        <f aca="false">IF(E12="","",IF(H12&lt;&gt;"","Answered",IF(AsOf&gt;G12,"Overdue","Open")))</f>
        <v>Open</v>
      </c>
      <c r="J12" s="25" t="n">
        <f aca="false">IF(E12="","",IF(H12&lt;&gt;"",NETWORKDAYS(E12,H12)-1,NETWORKDAYS(E12,AsOf)-1))</f>
        <v>4</v>
      </c>
      <c r="K12" s="43"/>
    </row>
    <row r="13" customFormat="false" ht="15" hidden="false" customHeight="false" outlineLevel="0" collapsed="false">
      <c r="E13" s="51"/>
      <c r="G13" s="51" t="str">
        <f aca="false">IF(E13="","",WORKDAY(E13,F13))</f>
        <v/>
      </c>
      <c r="H13" s="51"/>
      <c r="I13" s="0" t="str">
        <f aca="false">IF(E13="","",IF(H13&lt;&gt;"","Answered",IF(AsOf&gt;G13,"Overdue","Open")))</f>
        <v/>
      </c>
      <c r="J13" s="0" t="str">
        <f aca="false">IF(E13="","",IF(H13&lt;&gt;"",NETWORKDAYS(E13,H13)-1,NETWORKDAYS(E13,AsOf)-1))</f>
        <v/>
      </c>
    </row>
    <row r="14" customFormat="false" ht="15" hidden="false" customHeight="false" outlineLevel="0" collapsed="false">
      <c r="E14" s="51"/>
      <c r="G14" s="51" t="str">
        <f aca="false">IF(E14="","",WORKDAY(E14,F14))</f>
        <v/>
      </c>
      <c r="H14" s="51"/>
      <c r="I14" s="0" t="str">
        <f aca="false">IF(E14="","",IF(H14&lt;&gt;"","Answered",IF(AsOf&gt;G14,"Overdue","Open")))</f>
        <v/>
      </c>
      <c r="J14" s="0" t="str">
        <f aca="false">IF(E14="","",IF(H14&lt;&gt;"",NETWORKDAYS(E14,H14)-1,NETWORKDAYS(E14,AsOf)-1))</f>
        <v/>
      </c>
    </row>
    <row r="15" customFormat="false" ht="15" hidden="false" customHeight="false" outlineLevel="0" collapsed="false">
      <c r="E15" s="51"/>
      <c r="G15" s="51" t="str">
        <f aca="false">IF(E15="","",WORKDAY(E15,F15))</f>
        <v/>
      </c>
      <c r="H15" s="51"/>
      <c r="I15" s="0" t="str">
        <f aca="false">IF(E15="","",IF(H15&lt;&gt;"","Answered",IF(AsOf&gt;G15,"Overdue","Open")))</f>
        <v/>
      </c>
      <c r="J15" s="0" t="str">
        <f aca="false">IF(E15="","",IF(H15&lt;&gt;"",NETWORKDAYS(E15,H15)-1,NETWORKDAYS(E15,AsOf)-1))</f>
        <v/>
      </c>
    </row>
    <row r="16" customFormat="false" ht="15" hidden="false" customHeight="false" outlineLevel="0" collapsed="false">
      <c r="E16" s="51"/>
      <c r="G16" s="51" t="str">
        <f aca="false">IF(E16="","",WORKDAY(E16,F16))</f>
        <v/>
      </c>
      <c r="H16" s="51"/>
      <c r="I16" s="0" t="str">
        <f aca="false">IF(E16="","",IF(H16&lt;&gt;"","Answered",IF(AsOf&gt;G16,"Overdue","Open")))</f>
        <v/>
      </c>
      <c r="J16" s="0" t="str">
        <f aca="false">IF(E16="","",IF(H16&lt;&gt;"",NETWORKDAYS(E16,H16)-1,NETWORKDAYS(E16,AsOf)-1))</f>
        <v/>
      </c>
    </row>
    <row r="17" customFormat="false" ht="15" hidden="false" customHeight="false" outlineLevel="0" collapsed="false">
      <c r="E17" s="51"/>
      <c r="G17" s="51" t="str">
        <f aca="false">IF(E17="","",WORKDAY(E17,F17))</f>
        <v/>
      </c>
      <c r="H17" s="51"/>
      <c r="I17" s="0" t="str">
        <f aca="false">IF(E17="","",IF(H17&lt;&gt;"","Answered",IF(AsOf&gt;G17,"Overdue","Open")))</f>
        <v/>
      </c>
      <c r="J17" s="0" t="str">
        <f aca="false">IF(E17="","",IF(H17&lt;&gt;"",NETWORKDAYS(E17,H17)-1,NETWORKDAYS(E17,AsOf)-1))</f>
        <v/>
      </c>
    </row>
    <row r="18" customFormat="false" ht="15" hidden="false" customHeight="false" outlineLevel="0" collapsed="false">
      <c r="E18" s="51"/>
      <c r="G18" s="51" t="str">
        <f aca="false">IF(E18="","",WORKDAY(E18,F18))</f>
        <v/>
      </c>
      <c r="H18" s="51"/>
      <c r="I18" s="0" t="str">
        <f aca="false">IF(E18="","",IF(H18&lt;&gt;"","Answered",IF(AsOf&gt;G18,"Overdue","Open")))</f>
        <v/>
      </c>
      <c r="J18" s="0" t="str">
        <f aca="false">IF(E18="","",IF(H18&lt;&gt;"",NETWORKDAYS(E18,H18)-1,NETWORKDAYS(E18,AsOf)-1))</f>
        <v/>
      </c>
    </row>
    <row r="19" customFormat="false" ht="15" hidden="false" customHeight="false" outlineLevel="0" collapsed="false">
      <c r="E19" s="51"/>
      <c r="G19" s="51" t="str">
        <f aca="false">IF(E19="","",WORKDAY(E19,F19))</f>
        <v/>
      </c>
      <c r="H19" s="51"/>
      <c r="I19" s="0" t="str">
        <f aca="false">IF(E19="","",IF(H19&lt;&gt;"","Answered",IF(AsOf&gt;G19,"Overdue","Open")))</f>
        <v/>
      </c>
      <c r="J19" s="0" t="str">
        <f aca="false">IF(E19="","",IF(H19&lt;&gt;"",NETWORKDAYS(E19,H19)-1,NETWORKDAYS(E19,AsOf)-1))</f>
        <v/>
      </c>
    </row>
    <row r="20" customFormat="false" ht="15" hidden="false" customHeight="false" outlineLevel="0" collapsed="false">
      <c r="E20" s="51"/>
      <c r="G20" s="51" t="str">
        <f aca="false">IF(E20="","",WORKDAY(E20,F20))</f>
        <v/>
      </c>
      <c r="H20" s="51"/>
      <c r="I20" s="0" t="str">
        <f aca="false">IF(E20="","",IF(H20&lt;&gt;"","Answered",IF(AsOf&gt;G20,"Overdue","Open")))</f>
        <v/>
      </c>
      <c r="J20" s="0" t="str">
        <f aca="false">IF(E20="","",IF(H20&lt;&gt;"",NETWORKDAYS(E20,H20)-1,NETWORKDAYS(E20,AsOf)-1))</f>
        <v/>
      </c>
    </row>
    <row r="21" customFormat="false" ht="15" hidden="false" customHeight="false" outlineLevel="0" collapsed="false">
      <c r="E21" s="51"/>
      <c r="G21" s="51" t="str">
        <f aca="false">IF(E21="","",WORKDAY(E21,F21))</f>
        <v/>
      </c>
      <c r="H21" s="51"/>
      <c r="I21" s="0" t="str">
        <f aca="false">IF(E21="","",IF(H21&lt;&gt;"","Answered",IF(AsOf&gt;G21,"Overdue","Open")))</f>
        <v/>
      </c>
      <c r="J21" s="0" t="str">
        <f aca="false">IF(E21="","",IF(H21&lt;&gt;"",NETWORKDAYS(E21,H21)-1,NETWORKDAYS(E21,AsOf)-1))</f>
        <v/>
      </c>
    </row>
    <row r="22" customFormat="false" ht="15" hidden="false" customHeight="false" outlineLevel="0" collapsed="false">
      <c r="E22" s="51"/>
      <c r="G22" s="51" t="str">
        <f aca="false">IF(E22="","",WORKDAY(E22,F22))</f>
        <v/>
      </c>
      <c r="H22" s="51"/>
      <c r="I22" s="0" t="str">
        <f aca="false">IF(E22="","",IF(H22&lt;&gt;"","Answered",IF(AsOf&gt;G22,"Overdue","Open")))</f>
        <v/>
      </c>
      <c r="J22" s="0" t="str">
        <f aca="false">IF(E22="","",IF(H22&lt;&gt;"",NETWORKDAYS(E22,H22)-1,NETWORKDAYS(E22,AsOf)-1))</f>
        <v/>
      </c>
    </row>
    <row r="23" customFormat="false" ht="15" hidden="false" customHeight="false" outlineLevel="0" collapsed="false">
      <c r="E23" s="51"/>
      <c r="G23" s="51" t="str">
        <f aca="false">IF(E23="","",WORKDAY(E23,F23))</f>
        <v/>
      </c>
      <c r="H23" s="51"/>
      <c r="I23" s="0" t="str">
        <f aca="false">IF(E23="","",IF(H23&lt;&gt;"","Answered",IF(AsOf&gt;G23,"Overdue","Open")))</f>
        <v/>
      </c>
      <c r="J23" s="0" t="str">
        <f aca="false">IF(E23="","",IF(H23&lt;&gt;"",NETWORKDAYS(E23,H23)-1,NETWORKDAYS(E23,AsOf)-1))</f>
        <v/>
      </c>
    </row>
    <row r="24" customFormat="false" ht="15" hidden="false" customHeight="false" outlineLevel="0" collapsed="false">
      <c r="E24" s="51"/>
      <c r="G24" s="51" t="str">
        <f aca="false">IF(E24="","",WORKDAY(E24,F24))</f>
        <v/>
      </c>
      <c r="H24" s="51"/>
      <c r="I24" s="0" t="str">
        <f aca="false">IF(E24="","",IF(H24&lt;&gt;"","Answered",IF(AsOf&gt;G24,"Overdue","Open")))</f>
        <v/>
      </c>
      <c r="J24" s="0" t="str">
        <f aca="false">IF(E24="","",IF(H24&lt;&gt;"",NETWORKDAYS(E24,H24)-1,NETWORKDAYS(E24,AsOf)-1))</f>
        <v/>
      </c>
    </row>
    <row r="25" customFormat="false" ht="15" hidden="false" customHeight="false" outlineLevel="0" collapsed="false">
      <c r="E25" s="51"/>
      <c r="G25" s="51" t="str">
        <f aca="false">IF(E25="","",WORKDAY(E25,F25))</f>
        <v/>
      </c>
      <c r="H25" s="51"/>
      <c r="I25" s="0" t="str">
        <f aca="false">IF(E25="","",IF(H25&lt;&gt;"","Answered",IF(AsOf&gt;G25,"Overdue","Open")))</f>
        <v/>
      </c>
      <c r="J25" s="0" t="str">
        <f aca="false">IF(E25="","",IF(H25&lt;&gt;"",NETWORKDAYS(E25,H25)-1,NETWORKDAYS(E25,AsOf)-1))</f>
        <v/>
      </c>
    </row>
    <row r="26" customFormat="false" ht="15" hidden="false" customHeight="false" outlineLevel="0" collapsed="false">
      <c r="E26" s="51"/>
      <c r="G26" s="51" t="str">
        <f aca="false">IF(E26="","",WORKDAY(E26,F26))</f>
        <v/>
      </c>
      <c r="H26" s="51"/>
      <c r="I26" s="0" t="str">
        <f aca="false">IF(E26="","",IF(H26&lt;&gt;"","Answered",IF(AsOf&gt;G26,"Overdue","Open")))</f>
        <v/>
      </c>
      <c r="J26" s="0" t="str">
        <f aca="false">IF(E26="","",IF(H26&lt;&gt;"",NETWORKDAYS(E26,H26)-1,NETWORKDAYS(E26,AsOf)-1))</f>
        <v/>
      </c>
    </row>
    <row r="27" customFormat="false" ht="15" hidden="false" customHeight="false" outlineLevel="0" collapsed="false">
      <c r="E27" s="51"/>
      <c r="G27" s="51" t="str">
        <f aca="false">IF(E27="","",WORKDAY(E27,F27))</f>
        <v/>
      </c>
      <c r="H27" s="51"/>
      <c r="I27" s="0" t="str">
        <f aca="false">IF(E27="","",IF(H27&lt;&gt;"","Answered",IF(AsOf&gt;G27,"Overdue","Open")))</f>
        <v/>
      </c>
      <c r="J27" s="0" t="str">
        <f aca="false">IF(E27="","",IF(H27&lt;&gt;"",NETWORKDAYS(E27,H27)-1,NETWORKDAYS(E27,AsOf)-1))</f>
        <v/>
      </c>
    </row>
    <row r="28" customFormat="false" ht="15" hidden="false" customHeight="false" outlineLevel="0" collapsed="false">
      <c r="E28" s="51"/>
      <c r="G28" s="51" t="str">
        <f aca="false">IF(E28="","",WORKDAY(E28,F28))</f>
        <v/>
      </c>
      <c r="H28" s="51"/>
      <c r="I28" s="0" t="str">
        <f aca="false">IF(E28="","",IF(H28&lt;&gt;"","Answered",IF(AsOf&gt;G28,"Overdue","Open")))</f>
        <v/>
      </c>
      <c r="J28" s="0" t="str">
        <f aca="false">IF(E28="","",IF(H28&lt;&gt;"",NETWORKDAYS(E28,H28)-1,NETWORKDAYS(E28,AsOf)-1))</f>
        <v/>
      </c>
    </row>
    <row r="29" customFormat="false" ht="15" hidden="false" customHeight="false" outlineLevel="0" collapsed="false">
      <c r="E29" s="51"/>
      <c r="G29" s="51" t="str">
        <f aca="false">IF(E29="","",WORKDAY(E29,F29))</f>
        <v/>
      </c>
      <c r="H29" s="51"/>
      <c r="I29" s="0" t="str">
        <f aca="false">IF(E29="","",IF(H29&lt;&gt;"","Answered",IF(AsOf&gt;G29,"Overdue","Open")))</f>
        <v/>
      </c>
      <c r="J29" s="0" t="str">
        <f aca="false">IF(E29="","",IF(H29&lt;&gt;"",NETWORKDAYS(E29,H29)-1,NETWORKDAYS(E29,AsOf)-1))</f>
        <v/>
      </c>
    </row>
    <row r="30" customFormat="false" ht="15" hidden="false" customHeight="false" outlineLevel="0" collapsed="false">
      <c r="E30" s="51"/>
      <c r="G30" s="51" t="str">
        <f aca="false">IF(E30="","",WORKDAY(E30,F30))</f>
        <v/>
      </c>
      <c r="H30" s="51"/>
      <c r="I30" s="0" t="str">
        <f aca="false">IF(E30="","",IF(H30&lt;&gt;"","Answered",IF(AsOf&gt;G30,"Overdue","Open")))</f>
        <v/>
      </c>
      <c r="J30" s="0" t="str">
        <f aca="false">IF(E30="","",IF(H30&lt;&gt;"",NETWORKDAYS(E30,H30)-1,NETWORKDAYS(E30,AsOf)-1))</f>
        <v/>
      </c>
    </row>
    <row r="31" customFormat="false" ht="15" hidden="false" customHeight="false" outlineLevel="0" collapsed="false">
      <c r="E31" s="51"/>
      <c r="G31" s="51" t="str">
        <f aca="false">IF(E31="","",WORKDAY(E31,F31))</f>
        <v/>
      </c>
      <c r="H31" s="51"/>
      <c r="I31" s="0" t="str">
        <f aca="false">IF(E31="","",IF(H31&lt;&gt;"","Answered",IF(AsOf&gt;G31,"Overdue","Open")))</f>
        <v/>
      </c>
      <c r="J31" s="0" t="str">
        <f aca="false">IF(E31="","",IF(H31&lt;&gt;"",NETWORKDAYS(E31,H31)-1,NETWORKDAYS(E31,AsOf)-1))</f>
        <v/>
      </c>
    </row>
    <row r="32" customFormat="false" ht="15" hidden="false" customHeight="false" outlineLevel="0" collapsed="false">
      <c r="E32" s="51"/>
      <c r="G32" s="51" t="str">
        <f aca="false">IF(E32="","",WORKDAY(E32,F32))</f>
        <v/>
      </c>
      <c r="H32" s="51"/>
      <c r="I32" s="0" t="str">
        <f aca="false">IF(E32="","",IF(H32&lt;&gt;"","Answered",IF(AsOf&gt;G32,"Overdue","Open")))</f>
        <v/>
      </c>
      <c r="J32" s="0" t="str">
        <f aca="false">IF(E32="","",IF(H32&lt;&gt;"",NETWORKDAYS(E32,H32)-1,NETWORKDAYS(E32,AsOf)-1))</f>
        <v/>
      </c>
    </row>
    <row r="33" customFormat="false" ht="15" hidden="false" customHeight="false" outlineLevel="0" collapsed="false">
      <c r="E33" s="51"/>
      <c r="G33" s="51" t="str">
        <f aca="false">IF(E33="","",WORKDAY(E33,F33))</f>
        <v/>
      </c>
      <c r="H33" s="51"/>
      <c r="I33" s="0" t="str">
        <f aca="false">IF(E33="","",IF(H33&lt;&gt;"","Answered",IF(AsOf&gt;G33,"Overdue","Open")))</f>
        <v/>
      </c>
      <c r="J33" s="0" t="str">
        <f aca="false">IF(E33="","",IF(H33&lt;&gt;"",NETWORKDAYS(E33,H33)-1,NETWORKDAYS(E33,AsOf)-1))</f>
        <v/>
      </c>
    </row>
    <row r="34" customFormat="false" ht="15" hidden="false" customHeight="false" outlineLevel="0" collapsed="false">
      <c r="E34" s="51"/>
      <c r="G34" s="51" t="str">
        <f aca="false">IF(E34="","",WORKDAY(E34,F34))</f>
        <v/>
      </c>
      <c r="H34" s="51"/>
      <c r="I34" s="0" t="str">
        <f aca="false">IF(E34="","",IF(H34&lt;&gt;"","Answered",IF(AsOf&gt;G34,"Overdue","Open")))</f>
        <v/>
      </c>
      <c r="J34" s="0" t="str">
        <f aca="false">IF(E34="","",IF(H34&lt;&gt;"",NETWORKDAYS(E34,H34)-1,NETWORKDAYS(E34,AsOf)-1))</f>
        <v/>
      </c>
    </row>
    <row r="35" customFormat="false" ht="15" hidden="false" customHeight="false" outlineLevel="0" collapsed="false">
      <c r="E35" s="51"/>
      <c r="G35" s="51" t="str">
        <f aca="false">IF(E35="","",WORKDAY(E35,F35))</f>
        <v/>
      </c>
      <c r="H35" s="51"/>
      <c r="I35" s="0" t="str">
        <f aca="false">IF(E35="","",IF(H35&lt;&gt;"","Answered",IF(AsOf&gt;G35,"Overdue","Open")))</f>
        <v/>
      </c>
      <c r="J35" s="0" t="str">
        <f aca="false">IF(E35="","",IF(H35&lt;&gt;"",NETWORKDAYS(E35,H35)-1,NETWORKDAYS(E35,AsOf)-1))</f>
        <v/>
      </c>
    </row>
    <row r="36" customFormat="false" ht="15" hidden="false" customHeight="false" outlineLevel="0" collapsed="false">
      <c r="E36" s="51"/>
      <c r="G36" s="51" t="str">
        <f aca="false">IF(E36="","",WORKDAY(E36,F36))</f>
        <v/>
      </c>
      <c r="H36" s="51"/>
      <c r="I36" s="0" t="str">
        <f aca="false">IF(E36="","",IF(H36&lt;&gt;"","Answered",IF(AsOf&gt;G36,"Overdue","Open")))</f>
        <v/>
      </c>
      <c r="J36" s="0" t="str">
        <f aca="false">IF(E36="","",IF(H36&lt;&gt;"",NETWORKDAYS(E36,H36)-1,NETWORKDAYS(E36,AsOf)-1))</f>
        <v/>
      </c>
    </row>
    <row r="37" customFormat="false" ht="15" hidden="false" customHeight="false" outlineLevel="0" collapsed="false">
      <c r="E37" s="51"/>
      <c r="G37" s="51" t="str">
        <f aca="false">IF(E37="","",WORKDAY(E37,F37))</f>
        <v/>
      </c>
      <c r="H37" s="51"/>
      <c r="I37" s="0" t="str">
        <f aca="false">IF(E37="","",IF(H37&lt;&gt;"","Answered",IF(AsOf&gt;G37,"Overdue","Open")))</f>
        <v/>
      </c>
      <c r="J37" s="0" t="str">
        <f aca="false">IF(E37="","",IF(H37&lt;&gt;"",NETWORKDAYS(E37,H37)-1,NETWORKDAYS(E37,AsOf)-1))</f>
        <v/>
      </c>
    </row>
    <row r="38" customFormat="false" ht="15" hidden="false" customHeight="false" outlineLevel="0" collapsed="false">
      <c r="E38" s="51"/>
      <c r="G38" s="51" t="str">
        <f aca="false">IF(E38="","",WORKDAY(E38,F38))</f>
        <v/>
      </c>
      <c r="H38" s="51"/>
      <c r="I38" s="0" t="str">
        <f aca="false">IF(E38="","",IF(H38&lt;&gt;"","Answered",IF(AsOf&gt;G38,"Overdue","Open")))</f>
        <v/>
      </c>
      <c r="J38" s="0" t="str">
        <f aca="false">IF(E38="","",IF(H38&lt;&gt;"",NETWORKDAYS(E38,H38)-1,NETWORKDAYS(E38,AsOf)-1))</f>
        <v/>
      </c>
    </row>
    <row r="39" customFormat="false" ht="15" hidden="false" customHeight="false" outlineLevel="0" collapsed="false">
      <c r="E39" s="51"/>
      <c r="G39" s="51" t="str">
        <f aca="false">IF(E39="","",WORKDAY(E39,F39))</f>
        <v/>
      </c>
      <c r="H39" s="51"/>
      <c r="I39" s="0" t="str">
        <f aca="false">IF(E39="","",IF(H39&lt;&gt;"","Answered",IF(AsOf&gt;G39,"Overdue","Open")))</f>
        <v/>
      </c>
      <c r="J39" s="0" t="str">
        <f aca="false">IF(E39="","",IF(H39&lt;&gt;"",NETWORKDAYS(E39,H39)-1,NETWORKDAYS(E39,AsOf)-1))</f>
        <v/>
      </c>
    </row>
    <row r="40" customFormat="false" ht="15" hidden="false" customHeight="false" outlineLevel="0" collapsed="false">
      <c r="E40" s="51"/>
      <c r="G40" s="51" t="str">
        <f aca="false">IF(E40="","",WORKDAY(E40,F40))</f>
        <v/>
      </c>
      <c r="H40" s="51"/>
      <c r="I40" s="0" t="str">
        <f aca="false">IF(E40="","",IF(H40&lt;&gt;"","Answered",IF(AsOf&gt;G40,"Overdue","Open")))</f>
        <v/>
      </c>
      <c r="J40" s="0" t="str">
        <f aca="false">IF(E40="","",IF(H40&lt;&gt;"",NETWORKDAYS(E40,H40)-1,NETWORKDAYS(E40,AsOf)-1))</f>
        <v/>
      </c>
    </row>
    <row r="41" customFormat="false" ht="15" hidden="false" customHeight="false" outlineLevel="0" collapsed="false">
      <c r="E41" s="51"/>
      <c r="G41" s="51" t="str">
        <f aca="false">IF(E41="","",WORKDAY(E41,F41))</f>
        <v/>
      </c>
      <c r="H41" s="51"/>
      <c r="I41" s="0" t="str">
        <f aca="false">IF(E41="","",IF(H41&lt;&gt;"","Answered",IF(AsOf&gt;G41,"Overdue","Open")))</f>
        <v/>
      </c>
      <c r="J41" s="0" t="str">
        <f aca="false">IF(E41="","",IF(H41&lt;&gt;"",NETWORKDAYS(E41,H41)-1,NETWORKDAYS(E41,AsOf)-1))</f>
        <v/>
      </c>
    </row>
    <row r="42" customFormat="false" ht="15" hidden="false" customHeight="false" outlineLevel="0" collapsed="false">
      <c r="E42" s="51"/>
      <c r="G42" s="51" t="str">
        <f aca="false">IF(E42="","",WORKDAY(E42,F42))</f>
        <v/>
      </c>
      <c r="H42" s="51"/>
      <c r="I42" s="0" t="str">
        <f aca="false">IF(E42="","",IF(H42&lt;&gt;"","Answered",IF(AsOf&gt;G42,"Overdue","Open")))</f>
        <v/>
      </c>
      <c r="J42" s="0" t="str">
        <f aca="false">IF(E42="","",IF(H42&lt;&gt;"",NETWORKDAYS(E42,H42)-1,NETWORKDAYS(E42,AsOf)-1))</f>
        <v/>
      </c>
    </row>
    <row r="43" customFormat="false" ht="15" hidden="false" customHeight="false" outlineLevel="0" collapsed="false">
      <c r="E43" s="51"/>
      <c r="G43" s="51" t="str">
        <f aca="false">IF(E43="","",WORKDAY(E43,F43))</f>
        <v/>
      </c>
      <c r="H43" s="51"/>
      <c r="I43" s="0" t="str">
        <f aca="false">IF(E43="","",IF(H43&lt;&gt;"","Answered",IF(AsOf&gt;G43,"Overdue","Open")))</f>
        <v/>
      </c>
      <c r="J43" s="0" t="str">
        <f aca="false">IF(E43="","",IF(H43&lt;&gt;"",NETWORKDAYS(E43,H43)-1,NETWORKDAYS(E43,AsOf)-1))</f>
        <v/>
      </c>
    </row>
    <row r="44" customFormat="false" ht="15" hidden="false" customHeight="false" outlineLevel="0" collapsed="false">
      <c r="E44" s="51"/>
      <c r="G44" s="51" t="str">
        <f aca="false">IF(E44="","",WORKDAY(E44,F44))</f>
        <v/>
      </c>
      <c r="H44" s="51"/>
      <c r="I44" s="0" t="str">
        <f aca="false">IF(E44="","",IF(H44&lt;&gt;"","Answered",IF(AsOf&gt;G44,"Overdue","Open")))</f>
        <v/>
      </c>
      <c r="J44" s="0" t="str">
        <f aca="false">IF(E44="","",IF(H44&lt;&gt;"",NETWORKDAYS(E44,H44)-1,NETWORKDAYS(E44,AsOf)-1))</f>
        <v/>
      </c>
    </row>
    <row r="45" customFormat="false" ht="15" hidden="false" customHeight="false" outlineLevel="0" collapsed="false">
      <c r="E45" s="51"/>
      <c r="G45" s="51" t="str">
        <f aca="false">IF(E45="","",WORKDAY(E45,F45))</f>
        <v/>
      </c>
      <c r="H45" s="51"/>
      <c r="I45" s="0" t="str">
        <f aca="false">IF(E45="","",IF(H45&lt;&gt;"","Answered",IF(AsOf&gt;G45,"Overdue","Open")))</f>
        <v/>
      </c>
      <c r="J45" s="0" t="str">
        <f aca="false">IF(E45="","",IF(H45&lt;&gt;"",NETWORKDAYS(E45,H45)-1,NETWORKDAYS(E45,AsOf)-1))</f>
        <v/>
      </c>
    </row>
    <row r="46" customFormat="false" ht="15" hidden="false" customHeight="false" outlineLevel="0" collapsed="false">
      <c r="E46" s="51"/>
      <c r="G46" s="51" t="str">
        <f aca="false">IF(E46="","",WORKDAY(E46,F46))</f>
        <v/>
      </c>
      <c r="H46" s="51"/>
      <c r="I46" s="0" t="str">
        <f aca="false">IF(E46="","",IF(H46&lt;&gt;"","Answered",IF(AsOf&gt;G46,"Overdue","Open")))</f>
        <v/>
      </c>
      <c r="J46" s="0" t="str">
        <f aca="false">IF(E46="","",IF(H46&lt;&gt;"",NETWORKDAYS(E46,H46)-1,NETWORKDAYS(E46,AsOf)-1))</f>
        <v/>
      </c>
    </row>
    <row r="47" customFormat="false" ht="15" hidden="false" customHeight="false" outlineLevel="0" collapsed="false">
      <c r="E47" s="51"/>
      <c r="G47" s="51" t="str">
        <f aca="false">IF(E47="","",WORKDAY(E47,F47))</f>
        <v/>
      </c>
      <c r="H47" s="51"/>
      <c r="I47" s="0" t="str">
        <f aca="false">IF(E47="","",IF(H47&lt;&gt;"","Answered",IF(AsOf&gt;G47,"Overdue","Open")))</f>
        <v/>
      </c>
      <c r="J47" s="0" t="str">
        <f aca="false">IF(E47="","",IF(H47&lt;&gt;"",NETWORKDAYS(E47,H47)-1,NETWORKDAYS(E47,AsOf)-1))</f>
        <v/>
      </c>
    </row>
    <row r="48" customFormat="false" ht="15" hidden="false" customHeight="false" outlineLevel="0" collapsed="false">
      <c r="E48" s="51"/>
      <c r="G48" s="51" t="str">
        <f aca="false">IF(E48="","",WORKDAY(E48,F48))</f>
        <v/>
      </c>
      <c r="H48" s="51"/>
      <c r="I48" s="0" t="str">
        <f aca="false">IF(E48="","",IF(H48&lt;&gt;"","Answered",IF(AsOf&gt;G48,"Overdue","Open")))</f>
        <v/>
      </c>
      <c r="J48" s="0" t="str">
        <f aca="false">IF(E48="","",IF(H48&lt;&gt;"",NETWORKDAYS(E48,H48)-1,NETWORKDAYS(E48,AsOf)-1))</f>
        <v/>
      </c>
    </row>
    <row r="49" customFormat="false" ht="15" hidden="false" customHeight="false" outlineLevel="0" collapsed="false">
      <c r="E49" s="51"/>
      <c r="G49" s="51" t="str">
        <f aca="false">IF(E49="","",WORKDAY(E49,F49))</f>
        <v/>
      </c>
      <c r="H49" s="51"/>
      <c r="I49" s="0" t="str">
        <f aca="false">IF(E49="","",IF(H49&lt;&gt;"","Answered",IF(AsOf&gt;G49,"Overdue","Open")))</f>
        <v/>
      </c>
      <c r="J49" s="0" t="str">
        <f aca="false">IF(E49="","",IF(H49&lt;&gt;"",NETWORKDAYS(E49,H49)-1,NETWORKDAYS(E49,AsOf)-1))</f>
        <v/>
      </c>
    </row>
    <row r="50" customFormat="false" ht="15" hidden="false" customHeight="false" outlineLevel="0" collapsed="false">
      <c r="E50" s="51"/>
      <c r="G50" s="51" t="str">
        <f aca="false">IF(E50="","",WORKDAY(E50,F50))</f>
        <v/>
      </c>
      <c r="H50" s="51"/>
      <c r="I50" s="0" t="str">
        <f aca="false">IF(E50="","",IF(H50&lt;&gt;"","Answered",IF(AsOf&gt;G50,"Overdue","Open")))</f>
        <v/>
      </c>
      <c r="J50" s="0" t="str">
        <f aca="false">IF(E50="","",IF(H50&lt;&gt;"",NETWORKDAYS(E50,H50)-1,NETWORKDAYS(E50,AsOf)-1))</f>
        <v/>
      </c>
    </row>
    <row r="51" customFormat="false" ht="15" hidden="false" customHeight="false" outlineLevel="0" collapsed="false">
      <c r="E51" s="51"/>
      <c r="G51" s="51" t="str">
        <f aca="false">IF(E51="","",WORKDAY(E51,F51))</f>
        <v/>
      </c>
      <c r="H51" s="51"/>
      <c r="I51" s="0" t="str">
        <f aca="false">IF(E51="","",IF(H51&lt;&gt;"","Answered",IF(AsOf&gt;G51,"Overdue","Open")))</f>
        <v/>
      </c>
      <c r="J51" s="0" t="str">
        <f aca="false">IF(E51="","",IF(H51&lt;&gt;"",NETWORKDAYS(E51,H51)-1,NETWORKDAYS(E51,AsOf)-1))</f>
        <v/>
      </c>
    </row>
    <row r="52" customFormat="false" ht="15" hidden="false" customHeight="false" outlineLevel="0" collapsed="false">
      <c r="E52" s="51"/>
      <c r="G52" s="51" t="str">
        <f aca="false">IF(E52="","",WORKDAY(E52,F52))</f>
        <v/>
      </c>
      <c r="H52" s="51"/>
      <c r="I52" s="0" t="str">
        <f aca="false">IF(E52="","",IF(H52&lt;&gt;"","Answered",IF(AsOf&gt;G52,"Overdue","Open")))</f>
        <v/>
      </c>
      <c r="J52" s="0" t="str">
        <f aca="false">IF(E52="","",IF(H52&lt;&gt;"",NETWORKDAYS(E52,H52)-1,NETWORKDAYS(E52,AsOf)-1))</f>
        <v/>
      </c>
    </row>
    <row r="53" customFormat="false" ht="15" hidden="false" customHeight="false" outlineLevel="0" collapsed="false">
      <c r="E53" s="51"/>
      <c r="G53" s="51" t="str">
        <f aca="false">IF(E53="","",WORKDAY(E53,F53))</f>
        <v/>
      </c>
      <c r="H53" s="51"/>
      <c r="I53" s="0" t="str">
        <f aca="false">IF(E53="","",IF(H53&lt;&gt;"","Answered",IF(AsOf&gt;G53,"Overdue","Open")))</f>
        <v/>
      </c>
      <c r="J53" s="0" t="str">
        <f aca="false">IF(E53="","",IF(H53&lt;&gt;"",NETWORKDAYS(E53,H53)-1,NETWORKDAYS(E53,AsOf)-1))</f>
        <v/>
      </c>
    </row>
    <row r="54" customFormat="false" ht="15" hidden="false" customHeight="false" outlineLevel="0" collapsed="false">
      <c r="E54" s="51"/>
      <c r="G54" s="51" t="str">
        <f aca="false">IF(E54="","",WORKDAY(E54,F54))</f>
        <v/>
      </c>
      <c r="H54" s="51"/>
      <c r="I54" s="0" t="str">
        <f aca="false">IF(E54="","",IF(H54&lt;&gt;"","Answered",IF(AsOf&gt;G54,"Overdue","Open")))</f>
        <v/>
      </c>
      <c r="J54" s="0" t="str">
        <f aca="false">IF(E54="","",IF(H54&lt;&gt;"",NETWORKDAYS(E54,H54)-1,NETWORKDAYS(E54,AsOf)-1))</f>
        <v/>
      </c>
    </row>
    <row r="55" customFormat="false" ht="15" hidden="false" customHeight="false" outlineLevel="0" collapsed="false">
      <c r="E55" s="51"/>
      <c r="G55" s="51" t="str">
        <f aca="false">IF(E55="","",WORKDAY(E55,F55))</f>
        <v/>
      </c>
      <c r="H55" s="51"/>
      <c r="I55" s="0" t="str">
        <f aca="false">IF(E55="","",IF(H55&lt;&gt;"","Answered",IF(AsOf&gt;G55,"Overdue","Open")))</f>
        <v/>
      </c>
      <c r="J55" s="0" t="str">
        <f aca="false">IF(E55="","",IF(H55&lt;&gt;"",NETWORKDAYS(E55,H55)-1,NETWORKDAYS(E55,AsOf)-1))</f>
        <v/>
      </c>
    </row>
    <row r="56" customFormat="false" ht="15" hidden="false" customHeight="false" outlineLevel="0" collapsed="false">
      <c r="E56" s="51"/>
      <c r="G56" s="51" t="str">
        <f aca="false">IF(E56="","",WORKDAY(E56,F56))</f>
        <v/>
      </c>
      <c r="H56" s="51"/>
      <c r="I56" s="0" t="str">
        <f aca="false">IF(E56="","",IF(H56&lt;&gt;"","Answered",IF(AsOf&gt;G56,"Overdue","Open")))</f>
        <v/>
      </c>
      <c r="J56" s="0" t="str">
        <f aca="false">IF(E56="","",IF(H56&lt;&gt;"",NETWORKDAYS(E56,H56)-1,NETWORKDAYS(E56,AsOf)-1))</f>
        <v/>
      </c>
    </row>
    <row r="57" customFormat="false" ht="15" hidden="false" customHeight="false" outlineLevel="0" collapsed="false">
      <c r="E57" s="51"/>
      <c r="G57" s="51" t="str">
        <f aca="false">IF(E57="","",WORKDAY(E57,F57))</f>
        <v/>
      </c>
      <c r="H57" s="51"/>
      <c r="I57" s="0" t="str">
        <f aca="false">IF(E57="","",IF(H57&lt;&gt;"","Answered",IF(AsOf&gt;G57,"Overdue","Open")))</f>
        <v/>
      </c>
      <c r="J57" s="0" t="str">
        <f aca="false">IF(E57="","",IF(H57&lt;&gt;"",NETWORKDAYS(E57,H57)-1,NETWORKDAYS(E57,AsOf)-1))</f>
        <v/>
      </c>
    </row>
    <row r="58" customFormat="false" ht="15" hidden="false" customHeight="false" outlineLevel="0" collapsed="false">
      <c r="E58" s="51"/>
      <c r="G58" s="51" t="str">
        <f aca="false">IF(E58="","",WORKDAY(E58,F58))</f>
        <v/>
      </c>
      <c r="H58" s="51"/>
      <c r="I58" s="0" t="str">
        <f aca="false">IF(E58="","",IF(H58&lt;&gt;"","Answered",IF(AsOf&gt;G58,"Overdue","Open")))</f>
        <v/>
      </c>
      <c r="J58" s="0" t="str">
        <f aca="false">IF(E58="","",IF(H58&lt;&gt;"",NETWORKDAYS(E58,H58)-1,NETWORKDAYS(E58,AsOf)-1))</f>
        <v/>
      </c>
    </row>
    <row r="59" customFormat="false" ht="15" hidden="false" customHeight="false" outlineLevel="0" collapsed="false">
      <c r="E59" s="51"/>
      <c r="G59" s="51" t="str">
        <f aca="false">IF(E59="","",WORKDAY(E59,F59))</f>
        <v/>
      </c>
      <c r="H59" s="51"/>
      <c r="I59" s="0" t="str">
        <f aca="false">IF(E59="","",IF(H59&lt;&gt;"","Answered",IF(AsOf&gt;G59,"Overdue","Open")))</f>
        <v/>
      </c>
      <c r="J59" s="0" t="str">
        <f aca="false">IF(E59="","",IF(H59&lt;&gt;"",NETWORKDAYS(E59,H59)-1,NETWORKDAYS(E59,AsOf)-1))</f>
        <v/>
      </c>
    </row>
    <row r="60" customFormat="false" ht="15" hidden="false" customHeight="false" outlineLevel="0" collapsed="false">
      <c r="E60" s="51"/>
      <c r="G60" s="51" t="str">
        <f aca="false">IF(E60="","",WORKDAY(E60,F60))</f>
        <v/>
      </c>
      <c r="H60" s="51"/>
      <c r="I60" s="0" t="str">
        <f aca="false">IF(E60="","",IF(H60&lt;&gt;"","Answered",IF(AsOf&gt;G60,"Overdue","Open")))</f>
        <v/>
      </c>
      <c r="J60" s="0" t="str">
        <f aca="false">IF(E60="","",IF(H60&lt;&gt;"",NETWORKDAYS(E60,H60)-1,NETWORKDAYS(E60,AsOf)-1))</f>
        <v/>
      </c>
    </row>
  </sheetData>
  <conditionalFormatting sqref="I6:I60">
    <cfRule type="cellIs" priority="2" operator="equal" aboveAverage="0" equalAverage="0" bottom="0" percent="0" rank="0" text="" dxfId="3">
      <formula>"Complete"</formula>
    </cfRule>
    <cfRule type="cellIs" priority="3" operator="equal" aboveAverage="0" equalAverage="0" bottom="0" percent="0" rank="0" text="" dxfId="3">
      <formula>"Done"</formula>
    </cfRule>
    <cfRule type="cellIs" priority="4" operator="equal" aboveAverage="0" equalAverage="0" bottom="0" percent="0" rank="0" text="" dxfId="3">
      <formula>"Closed"</formula>
    </cfRule>
    <cfRule type="cellIs" priority="5" operator="equal" aboveAverage="0" equalAverage="0" bottom="0" percent="0" rank="0" text="" dxfId="3">
      <formula>"Answered"</formula>
    </cfRule>
    <cfRule type="cellIs" priority="6" operator="equal" aboveAverage="0" equalAverage="0" bottom="0" percent="0" rank="0" text="" dxfId="4">
      <formula>"Approved"</formula>
    </cfRule>
    <cfRule type="cellIs" priority="7" operator="equal" aboveAverage="0" equalAverage="0" bottom="0" percent="0" rank="0" text="" dxfId="4">
      <formula>"On Track"</formula>
    </cfRule>
    <cfRule type="cellIs" priority="8" operator="equal" aboveAverage="0" equalAverage="0" bottom="0" percent="0" rank="0" text="" dxfId="4">
      <formula>"Green"</formula>
    </cfRule>
    <cfRule type="cellIs" priority="9" operator="equal" aboveAverage="0" equalAverage="0" bottom="0" percent="0" rank="0" text="" dxfId="4">
      <formula>"GO"</formula>
    </cfRule>
    <cfRule type="cellIs" priority="10" operator="equal" aboveAverage="0" equalAverage="0" bottom="0" percent="0" rank="0" text="" dxfId="4">
      <formula>"Low"</formula>
    </cfRule>
    <cfRule type="cellIs" priority="11" operator="equal" aboveAverage="0" equalAverage="0" bottom="0" percent="0" rank="0" text="" dxfId="5">
      <formula>"At Risk"</formula>
    </cfRule>
    <cfRule type="cellIs" priority="12" operator="equal" aboveAverage="0" equalAverage="0" bottom="0" percent="0" rank="0" text="" dxfId="5">
      <formula>"Amber"</formula>
    </cfRule>
    <cfRule type="cellIs" priority="13" operator="equal" aboveAverage="0" equalAverage="0" bottom="0" percent="0" rank="0" text="" dxfId="5">
      <formula>"Medium"</formula>
    </cfRule>
    <cfRule type="cellIs" priority="14" operator="equal" aboveAverage="0" equalAverage="0" bottom="0" percent="0" rank="0" text="" dxfId="5">
      <formula>"Pending"</formula>
    </cfRule>
    <cfRule type="cellIs" priority="15" operator="equal" aboveAverage="0" equalAverage="0" bottom="0" percent="0" rank="0" text="" dxfId="5">
      <formula>"Open"</formula>
    </cfRule>
    <cfRule type="cellIs" priority="16" operator="equal" aboveAverage="0" equalAverage="0" bottom="0" percent="0" rank="0" text="" dxfId="6">
      <formula>"Late"</formula>
    </cfRule>
    <cfRule type="cellIs" priority="17" operator="equal" aboveAverage="0" equalAverage="0" bottom="0" percent="0" rank="0" text="" dxfId="6">
      <formula>"Red"</formula>
    </cfRule>
    <cfRule type="cellIs" priority="18" operator="equal" aboveAverage="0" equalAverage="0" bottom="0" percent="0" rank="0" text="" dxfId="6">
      <formula>"High"</formula>
    </cfRule>
    <cfRule type="cellIs" priority="19" operator="equal" aboveAverage="0" equalAverage="0" bottom="0" percent="0" rank="0" text="" dxfId="6">
      <formula>"Overdue"</formula>
    </cfRule>
    <cfRule type="cellIs" priority="20" operator="equal" aboveAverage="0" equalAverage="0" bottom="0" percent="0" rank="0" text="" dxfId="6">
      <formula>"OVERDUE"</formula>
    </cfRule>
    <cfRule type="cellIs" priority="21" operator="equal" aboveAverage="0" equalAverage="0" bottom="0" percent="0" rank="0" text="" dxfId="6">
      <formula>"NO-GO"</formula>
    </cfRule>
    <cfRule type="cellIs" priority="22" operator="equal" aboveAverage="0" equalAverage="0" bottom="0" percent="0" rank="0" text="" dxfId="6">
      <formula>"Blocked"</formula>
    </cfRule>
  </conditionalFormatting>
  <dataValidations count="2">
    <dataValidation allowBlank="true" errorStyle="stop" operator="between" showDropDown="false" showErrorMessage="false" showInputMessage="false" sqref="B6:B60" type="list">
      <formula1>Lists!$H$5:$H$6</formula1>
      <formula2>0</formula2>
    </dataValidation>
    <dataValidation allowBlank="true" errorStyle="stop" operator="between" showDropDown="false" showErrorMessage="false" showInputMessage="false" sqref="D6:D60" type="list">
      <formula1>Lists!$B$5:$B$16</formula1>
      <formula2>0</formula2>
    </dataValidation>
  </dataValidations>
  <printOptions headings="false" gridLines="false" gridLinesSet="true" horizontalCentered="true" verticalCentered="false"/>
  <pageMargins left="0.4" right="0.4" top="0.5" bottom="0.5"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A7F8E"/>
    <pageSetUpPr fitToPage="true"/>
  </sheetPr>
  <dimension ref="A1:O6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6"/>
    <col collapsed="false" customWidth="true" hidden="false" outlineLevel="0" max="2" min="2" style="0" width="11"/>
    <col collapsed="false" customWidth="true" hidden="false" outlineLevel="0" max="3" min="3" style="0" width="44"/>
    <col collapsed="false" customWidth="true" hidden="false" outlineLevel="0" max="4" min="4" style="0" width="11"/>
    <col collapsed="false" customWidth="true" hidden="false" outlineLevel="0" max="5" min="5" style="0" width="10"/>
    <col collapsed="false" customWidth="true" hidden="false" outlineLevel="0" max="6" min="6" style="0" width="9"/>
    <col collapsed="false" customWidth="true" hidden="false" outlineLevel="0" max="7" min="7" style="0" width="7"/>
    <col collapsed="false" customWidth="true" hidden="false" outlineLevel="0" max="8" min="8" style="0" width="9"/>
    <col collapsed="false" customWidth="true" hidden="false" outlineLevel="0" max="9" min="9" style="0" width="18"/>
    <col collapsed="false" customWidth="true" hidden="false" outlineLevel="0" max="10" min="10" style="0" width="10"/>
    <col collapsed="false" customWidth="true" hidden="false" outlineLevel="0" max="11" min="11" style="0" width="11"/>
    <col collapsed="false" customWidth="true" hidden="false" outlineLevel="0" max="12" min="12" style="0" width="40"/>
    <col collapsed="false" customWidth="true" hidden="false" outlineLevel="0" max="13" min="13" style="0" width="8"/>
    <col collapsed="false" customWidth="true" hidden="true" outlineLevel="0" max="15" min="14" style="0" width="8"/>
  </cols>
  <sheetData>
    <row r="1" customFormat="false" ht="19.7" hidden="false" customHeight="false" outlineLevel="0" collapsed="false">
      <c r="A1" s="9" t="s">
        <v>285</v>
      </c>
    </row>
    <row r="2" customFormat="false" ht="15" hidden="false" customHeight="false" outlineLevel="0" collapsed="false">
      <c r="A2" s="2" t="s">
        <v>286</v>
      </c>
    </row>
    <row r="3" customFormat="false" ht="15" hidden="false" customHeight="false" outlineLevel="0" collapsed="false">
      <c r="A3" s="36"/>
      <c r="B3" s="37" t="s">
        <v>113</v>
      </c>
    </row>
    <row r="5" customFormat="false" ht="30" hidden="false" customHeight="true" outlineLevel="0" collapsed="false">
      <c r="A5" s="28" t="s">
        <v>95</v>
      </c>
      <c r="B5" s="28" t="s">
        <v>258</v>
      </c>
      <c r="C5" s="28" t="s">
        <v>96</v>
      </c>
      <c r="D5" s="28" t="s">
        <v>208</v>
      </c>
      <c r="E5" s="28" t="s">
        <v>287</v>
      </c>
      <c r="F5" s="28" t="s">
        <v>288</v>
      </c>
      <c r="G5" s="28" t="s">
        <v>97</v>
      </c>
      <c r="H5" s="28" t="s">
        <v>289</v>
      </c>
      <c r="I5" s="28" t="s">
        <v>116</v>
      </c>
      <c r="J5" s="28" t="s">
        <v>290</v>
      </c>
      <c r="K5" s="28" t="s">
        <v>84</v>
      </c>
      <c r="L5" s="28" t="s">
        <v>291</v>
      </c>
      <c r="M5" s="28" t="s">
        <v>292</v>
      </c>
      <c r="N5" s="28" t="s">
        <v>293</v>
      </c>
      <c r="O5" s="28" t="s">
        <v>294</v>
      </c>
    </row>
    <row r="6" customFormat="false" ht="23.85" hidden="false" customHeight="false" outlineLevel="0" collapsed="false">
      <c r="A6" s="42" t="s">
        <v>295</v>
      </c>
      <c r="B6" s="42" t="s">
        <v>296</v>
      </c>
      <c r="C6" s="43" t="s">
        <v>297</v>
      </c>
      <c r="D6" s="42" t="s">
        <v>27</v>
      </c>
      <c r="E6" s="45" t="n">
        <v>4</v>
      </c>
      <c r="F6" s="45" t="n">
        <v>5</v>
      </c>
      <c r="G6" s="25" t="n">
        <f aca="false">IF(OR(E6="",F6=""),"",E6*F6)</f>
        <v>20</v>
      </c>
      <c r="H6" s="23" t="str">
        <f aca="false">IF(G6="",IF(B6="","","n/a"),IF(G6&gt;=15,"High",IF(G6&gt;=8,"Medium","Low")))</f>
        <v>High</v>
      </c>
      <c r="I6" s="42" t="s">
        <v>172</v>
      </c>
      <c r="J6" s="44" t="n">
        <v>46286</v>
      </c>
      <c r="K6" s="42" t="s">
        <v>298</v>
      </c>
      <c r="L6" s="43" t="s">
        <v>299</v>
      </c>
      <c r="M6" s="25" t="n">
        <f aca="false">IF(J6="","",IF(K6="Closed","",AsOf-J6))</f>
        <v>25</v>
      </c>
      <c r="N6" s="48" t="n">
        <f aca="false">IF(AND(OR(B6="Risk",B6="Issue"),K6&lt;&gt;"Closed",G6&lt;&gt;""),G6+ROW()/1000,"")</f>
        <v>20.006</v>
      </c>
      <c r="O6" s="48" t="str">
        <f aca="false">IF(AND(B6="Decision",K6&lt;&gt;"Closed"),ROW(),"")</f>
        <v/>
      </c>
    </row>
    <row r="7" customFormat="false" ht="15" hidden="false" customHeight="false" outlineLevel="0" collapsed="false">
      <c r="A7" s="42" t="s">
        <v>300</v>
      </c>
      <c r="B7" s="42" t="s">
        <v>296</v>
      </c>
      <c r="C7" s="43" t="s">
        <v>301</v>
      </c>
      <c r="D7" s="42" t="s">
        <v>27</v>
      </c>
      <c r="E7" s="45" t="n">
        <v>3</v>
      </c>
      <c r="F7" s="45" t="n">
        <v>4</v>
      </c>
      <c r="G7" s="25" t="n">
        <f aca="false">IF(OR(E7="",F7=""),"",E7*F7)</f>
        <v>12</v>
      </c>
      <c r="H7" s="23" t="str">
        <f aca="false">IF(G7="",IF(B7="","","n/a"),IF(G7&gt;=15,"High",IF(G7&gt;=8,"Medium","Low")))</f>
        <v>Medium</v>
      </c>
      <c r="I7" s="42" t="s">
        <v>131</v>
      </c>
      <c r="J7" s="44" t="n">
        <v>46293</v>
      </c>
      <c r="K7" s="42" t="s">
        <v>298</v>
      </c>
      <c r="L7" s="43" t="s">
        <v>302</v>
      </c>
      <c r="M7" s="25" t="n">
        <f aca="false">IF(J7="","",IF(K7="Closed","",AsOf-J7))</f>
        <v>18</v>
      </c>
      <c r="N7" s="48" t="n">
        <f aca="false">IF(AND(OR(B7="Risk",B7="Issue"),K7&lt;&gt;"Closed",G7&lt;&gt;""),G7+ROW()/1000,"")</f>
        <v>12.007</v>
      </c>
      <c r="O7" s="48" t="str">
        <f aca="false">IF(AND(B7="Decision",K7&lt;&gt;"Closed"),ROW(),"")</f>
        <v/>
      </c>
    </row>
    <row r="8" customFormat="false" ht="15" hidden="false" customHeight="false" outlineLevel="0" collapsed="false">
      <c r="A8" s="42" t="s">
        <v>303</v>
      </c>
      <c r="B8" s="42" t="s">
        <v>296</v>
      </c>
      <c r="C8" s="43" t="s">
        <v>304</v>
      </c>
      <c r="D8" s="42" t="s">
        <v>305</v>
      </c>
      <c r="E8" s="45" t="n">
        <v>3</v>
      </c>
      <c r="F8" s="45" t="n">
        <v>3</v>
      </c>
      <c r="G8" s="25" t="n">
        <f aca="false">IF(OR(E8="",F8=""),"",E8*F8)</f>
        <v>9</v>
      </c>
      <c r="H8" s="23" t="str">
        <f aca="false">IF(G8="",IF(B8="","","n/a"),IF(G8&gt;=15,"High",IF(G8&gt;=8,"Medium","Low")))</f>
        <v>Medium</v>
      </c>
      <c r="I8" s="42" t="s">
        <v>149</v>
      </c>
      <c r="J8" s="44" t="n">
        <v>46273</v>
      </c>
      <c r="K8" s="42" t="s">
        <v>306</v>
      </c>
      <c r="L8" s="43" t="s">
        <v>307</v>
      </c>
      <c r="M8" s="25" t="str">
        <f aca="false">IF(J8="","",IF(K8="Closed","",AsOf-J8))</f>
        <v/>
      </c>
      <c r="N8" s="48" t="str">
        <f aca="false">IF(AND(OR(B8="Risk",B8="Issue"),K8&lt;&gt;"Closed",G8&lt;&gt;""),G8+ROW()/1000,"")</f>
        <v/>
      </c>
      <c r="O8" s="48" t="str">
        <f aca="false">IF(AND(B8="Decision",K8&lt;&gt;"Closed"),ROW(),"")</f>
        <v/>
      </c>
    </row>
    <row r="9" customFormat="false" ht="15" hidden="false" customHeight="false" outlineLevel="0" collapsed="false">
      <c r="A9" s="42" t="s">
        <v>308</v>
      </c>
      <c r="B9" s="42" t="s">
        <v>296</v>
      </c>
      <c r="C9" s="43" t="s">
        <v>309</v>
      </c>
      <c r="D9" s="42" t="s">
        <v>27</v>
      </c>
      <c r="E9" s="45" t="n">
        <v>2</v>
      </c>
      <c r="F9" s="45" t="n">
        <v>4</v>
      </c>
      <c r="G9" s="25" t="n">
        <f aca="false">IF(OR(E9="",F9=""),"",E9*F9)</f>
        <v>8</v>
      </c>
      <c r="H9" s="23" t="str">
        <f aca="false">IF(G9="",IF(B9="","","n/a"),IF(G9&gt;=15,"High",IF(G9&gt;=8,"Medium","Low")))</f>
        <v>Medium</v>
      </c>
      <c r="I9" s="42" t="s">
        <v>149</v>
      </c>
      <c r="J9" s="44" t="n">
        <v>46295</v>
      </c>
      <c r="K9" s="42" t="s">
        <v>310</v>
      </c>
      <c r="L9" s="43" t="s">
        <v>311</v>
      </c>
      <c r="M9" s="25" t="n">
        <f aca="false">IF(J9="","",IF(K9="Closed","",AsOf-J9))</f>
        <v>16</v>
      </c>
      <c r="N9" s="48" t="n">
        <f aca="false">IF(AND(OR(B9="Risk",B9="Issue"),K9&lt;&gt;"Closed",G9&lt;&gt;""),G9+ROW()/1000,"")</f>
        <v>8.009</v>
      </c>
      <c r="O9" s="48" t="str">
        <f aca="false">IF(AND(B9="Decision",K9&lt;&gt;"Closed"),ROW(),"")</f>
        <v/>
      </c>
    </row>
    <row r="10" customFormat="false" ht="15" hidden="false" customHeight="false" outlineLevel="0" collapsed="false">
      <c r="A10" s="42" t="s">
        <v>312</v>
      </c>
      <c r="B10" s="42" t="s">
        <v>296</v>
      </c>
      <c r="C10" s="43" t="s">
        <v>313</v>
      </c>
      <c r="D10" s="42" t="s">
        <v>314</v>
      </c>
      <c r="E10" s="45" t="n">
        <v>2</v>
      </c>
      <c r="F10" s="45" t="n">
        <v>3</v>
      </c>
      <c r="G10" s="25" t="n">
        <f aca="false">IF(OR(E10="",F10=""),"",E10*F10)</f>
        <v>6</v>
      </c>
      <c r="H10" s="23" t="str">
        <f aca="false">IF(G10="",IF(B10="","","n/a"),IF(G10&gt;=15,"High",IF(G10&gt;=8,"Medium","Low")))</f>
        <v>Low</v>
      </c>
      <c r="I10" s="42" t="s">
        <v>131</v>
      </c>
      <c r="J10" s="44" t="n">
        <v>46296</v>
      </c>
      <c r="K10" s="42" t="s">
        <v>298</v>
      </c>
      <c r="L10" s="43" t="s">
        <v>315</v>
      </c>
      <c r="M10" s="25" t="n">
        <f aca="false">IF(J10="","",IF(K10="Closed","",AsOf-J10))</f>
        <v>15</v>
      </c>
      <c r="N10" s="48" t="n">
        <f aca="false">IF(AND(OR(B10="Risk",B10="Issue"),K10&lt;&gt;"Closed",G10&lt;&gt;""),G10+ROW()/1000,"")</f>
        <v>6.01</v>
      </c>
      <c r="O10" s="48" t="str">
        <f aca="false">IF(AND(B10="Decision",K10&lt;&gt;"Closed"),ROW(),"")</f>
        <v/>
      </c>
    </row>
    <row r="11" customFormat="false" ht="23.85" hidden="false" customHeight="false" outlineLevel="0" collapsed="false">
      <c r="A11" s="42" t="s">
        <v>316</v>
      </c>
      <c r="B11" s="42" t="s">
        <v>317</v>
      </c>
      <c r="C11" s="43" t="s">
        <v>318</v>
      </c>
      <c r="D11" s="42" t="s">
        <v>305</v>
      </c>
      <c r="E11" s="45" t="n">
        <v>5</v>
      </c>
      <c r="F11" s="45" t="n">
        <v>3</v>
      </c>
      <c r="G11" s="25" t="n">
        <f aca="false">IF(OR(E11="",F11=""),"",E11*F11)</f>
        <v>15</v>
      </c>
      <c r="H11" s="23" t="str">
        <f aca="false">IF(G11="",IF(B11="","","n/a"),IF(G11&gt;=15,"High",IF(G11&gt;=8,"Medium","Low")))</f>
        <v>High</v>
      </c>
      <c r="I11" s="42" t="s">
        <v>149</v>
      </c>
      <c r="J11" s="44" t="n">
        <v>46310</v>
      </c>
      <c r="K11" s="42" t="s">
        <v>298</v>
      </c>
      <c r="L11" s="43" t="s">
        <v>319</v>
      </c>
      <c r="M11" s="25" t="n">
        <f aca="false">IF(J11="","",IF(K11="Closed","",AsOf-J11))</f>
        <v>1</v>
      </c>
      <c r="N11" s="48" t="n">
        <f aca="false">IF(AND(OR(B11="Risk",B11="Issue"),K11&lt;&gt;"Closed",G11&lt;&gt;""),G11+ROW()/1000,"")</f>
        <v>15.011</v>
      </c>
      <c r="O11" s="48" t="str">
        <f aca="false">IF(AND(B11="Decision",K11&lt;&gt;"Closed"),ROW(),"")</f>
        <v/>
      </c>
    </row>
    <row r="12" customFormat="false" ht="15" hidden="false" customHeight="false" outlineLevel="0" collapsed="false">
      <c r="A12" s="42" t="s">
        <v>320</v>
      </c>
      <c r="B12" s="42" t="s">
        <v>317</v>
      </c>
      <c r="C12" s="43" t="s">
        <v>321</v>
      </c>
      <c r="D12" s="42" t="s">
        <v>27</v>
      </c>
      <c r="E12" s="45" t="n">
        <v>4</v>
      </c>
      <c r="F12" s="45" t="n">
        <v>3</v>
      </c>
      <c r="G12" s="25" t="n">
        <f aca="false">IF(OR(E12="",F12=""),"",E12*F12)</f>
        <v>12</v>
      </c>
      <c r="H12" s="23" t="str">
        <f aca="false">IF(G12="",IF(B12="","","n/a"),IF(G12&gt;=15,"High",IF(G12&gt;=8,"Medium","Low")))</f>
        <v>Medium</v>
      </c>
      <c r="I12" s="42" t="s">
        <v>131</v>
      </c>
      <c r="J12" s="44" t="n">
        <v>46307</v>
      </c>
      <c r="K12" s="42" t="s">
        <v>298</v>
      </c>
      <c r="L12" s="43" t="s">
        <v>322</v>
      </c>
      <c r="M12" s="25" t="n">
        <f aca="false">IF(J12="","",IF(K12="Closed","",AsOf-J12))</f>
        <v>4</v>
      </c>
      <c r="N12" s="48" t="n">
        <f aca="false">IF(AND(OR(B12="Risk",B12="Issue"),K12&lt;&gt;"Closed",G12&lt;&gt;""),G12+ROW()/1000,"")</f>
        <v>12.012</v>
      </c>
      <c r="O12" s="48" t="str">
        <f aca="false">IF(AND(B12="Decision",K12&lt;&gt;"Closed"),ROW(),"")</f>
        <v/>
      </c>
    </row>
    <row r="13" customFormat="false" ht="23.85" hidden="false" customHeight="false" outlineLevel="0" collapsed="false">
      <c r="A13" s="42" t="s">
        <v>323</v>
      </c>
      <c r="B13" s="42" t="s">
        <v>324</v>
      </c>
      <c r="C13" s="43" t="s">
        <v>325</v>
      </c>
      <c r="D13" s="42" t="s">
        <v>326</v>
      </c>
      <c r="E13" s="45"/>
      <c r="F13" s="45"/>
      <c r="G13" s="25" t="str">
        <f aca="false">IF(OR(E13="",F13=""),"",E13*F13)</f>
        <v/>
      </c>
      <c r="H13" s="23" t="str">
        <f aca="false">IF(G13="",IF(B13="","","n/a"),IF(G13&gt;=15,"High",IF(G13&gt;=8,"Medium","Low")))</f>
        <v>n/a</v>
      </c>
      <c r="I13" s="42" t="s">
        <v>146</v>
      </c>
      <c r="J13" s="44" t="n">
        <v>46269</v>
      </c>
      <c r="K13" s="42" t="s">
        <v>298</v>
      </c>
      <c r="L13" s="43" t="s">
        <v>327</v>
      </c>
      <c r="M13" s="25" t="n">
        <f aca="false">IF(J13="","",IF(K13="Closed","",AsOf-J13))</f>
        <v>42</v>
      </c>
      <c r="N13" s="48" t="str">
        <f aca="false">IF(AND(OR(B13="Risk",B13="Issue"),K13&lt;&gt;"Closed",G13&lt;&gt;""),G13+ROW()/1000,"")</f>
        <v/>
      </c>
      <c r="O13" s="48" t="str">
        <f aca="false">IF(AND(B13="Decision",K13&lt;&gt;"Closed"),ROW(),"")</f>
        <v/>
      </c>
    </row>
    <row r="14" customFormat="false" ht="23.85" hidden="false" customHeight="false" outlineLevel="0" collapsed="false">
      <c r="A14" s="42" t="s">
        <v>328</v>
      </c>
      <c r="B14" s="42" t="s">
        <v>329</v>
      </c>
      <c r="C14" s="43" t="s">
        <v>330</v>
      </c>
      <c r="D14" s="42" t="s">
        <v>305</v>
      </c>
      <c r="E14" s="45"/>
      <c r="F14" s="45"/>
      <c r="G14" s="25" t="str">
        <f aca="false">IF(OR(E14="",F14=""),"",E14*F14)</f>
        <v/>
      </c>
      <c r="H14" s="23" t="str">
        <f aca="false">IF(G14="",IF(B14="","","n/a"),IF(G14&gt;=15,"High",IF(G14&gt;=8,"Medium","Low")))</f>
        <v>n/a</v>
      </c>
      <c r="I14" s="42" t="s">
        <v>127</v>
      </c>
      <c r="J14" s="44" t="n">
        <v>46310</v>
      </c>
      <c r="K14" s="42" t="s">
        <v>298</v>
      </c>
      <c r="L14" s="43" t="s">
        <v>331</v>
      </c>
      <c r="M14" s="25" t="n">
        <f aca="false">IF(J14="","",IF(K14="Closed","",AsOf-J14))</f>
        <v>1</v>
      </c>
      <c r="N14" s="48" t="str">
        <f aca="false">IF(AND(OR(B14="Risk",B14="Issue"),K14&lt;&gt;"Closed",G14&lt;&gt;""),G14+ROW()/1000,"")</f>
        <v/>
      </c>
      <c r="O14" s="48" t="n">
        <f aca="false">IF(AND(B14="Decision",K14&lt;&gt;"Closed"),ROW(),"")</f>
        <v>14</v>
      </c>
    </row>
    <row r="15" customFormat="false" ht="15" hidden="false" customHeight="false" outlineLevel="0" collapsed="false">
      <c r="A15" s="42" t="s">
        <v>332</v>
      </c>
      <c r="B15" s="42" t="s">
        <v>329</v>
      </c>
      <c r="C15" s="43" t="s">
        <v>333</v>
      </c>
      <c r="D15" s="42" t="s">
        <v>334</v>
      </c>
      <c r="E15" s="45"/>
      <c r="F15" s="45"/>
      <c r="G15" s="25" t="str">
        <f aca="false">IF(OR(E15="",F15=""),"",E15*F15)</f>
        <v/>
      </c>
      <c r="H15" s="23" t="str">
        <f aca="false">IF(G15="",IF(B15="","","n/a"),IF(G15&gt;=15,"High",IF(G15&gt;=8,"Medium","Low")))</f>
        <v>n/a</v>
      </c>
      <c r="I15" s="42" t="s">
        <v>172</v>
      </c>
      <c r="J15" s="44" t="n">
        <v>46275</v>
      </c>
      <c r="K15" s="42" t="s">
        <v>306</v>
      </c>
      <c r="L15" s="43" t="s">
        <v>335</v>
      </c>
      <c r="M15" s="25" t="str">
        <f aca="false">IF(J15="","",IF(K15="Closed","",AsOf-J15))</f>
        <v/>
      </c>
      <c r="N15" s="48" t="str">
        <f aca="false">IF(AND(OR(B15="Risk",B15="Issue"),K15&lt;&gt;"Closed",G15&lt;&gt;""),G15+ROW()/1000,"")</f>
        <v/>
      </c>
      <c r="O15" s="48" t="str">
        <f aca="false">IF(AND(B15="Decision",K15&lt;&gt;"Closed"),ROW(),"")</f>
        <v/>
      </c>
    </row>
    <row r="16" customFormat="false" ht="15" hidden="false" customHeight="false" outlineLevel="0" collapsed="false">
      <c r="G16" s="0" t="str">
        <f aca="false">IF(OR(E16="",F16=""),"",E16*F16)</f>
        <v/>
      </c>
      <c r="H16" s="0" t="str">
        <f aca="false">IF(G16="",IF(B16="","","n/a"),IF(G16&gt;=15,"High",IF(G16&gt;=8,"Medium","Low")))</f>
        <v/>
      </c>
      <c r="J16" s="51"/>
      <c r="M16" s="0" t="str">
        <f aca="false">IF(J16="","",IF(K16="Closed","",AsOf-J16))</f>
        <v/>
      </c>
      <c r="N16" s="54" t="str">
        <f aca="false">IF(AND(OR(B16="Risk",B16="Issue"),K16&lt;&gt;"Closed",G16&lt;&gt;""),G16+ROW()/1000,"")</f>
        <v/>
      </c>
      <c r="O16" s="54" t="str">
        <f aca="false">IF(AND(B16="Decision",K16&lt;&gt;"Closed"),ROW(),"")</f>
        <v/>
      </c>
    </row>
    <row r="17" customFormat="false" ht="15" hidden="false" customHeight="false" outlineLevel="0" collapsed="false">
      <c r="G17" s="0" t="str">
        <f aca="false">IF(OR(E17="",F17=""),"",E17*F17)</f>
        <v/>
      </c>
      <c r="H17" s="0" t="str">
        <f aca="false">IF(G17="",IF(B17="","","n/a"),IF(G17&gt;=15,"High",IF(G17&gt;=8,"Medium","Low")))</f>
        <v/>
      </c>
      <c r="J17" s="51"/>
      <c r="M17" s="0" t="str">
        <f aca="false">IF(J17="","",IF(K17="Closed","",AsOf-J17))</f>
        <v/>
      </c>
      <c r="N17" s="54" t="str">
        <f aca="false">IF(AND(OR(B17="Risk",B17="Issue"),K17&lt;&gt;"Closed",G17&lt;&gt;""),G17+ROW()/1000,"")</f>
        <v/>
      </c>
      <c r="O17" s="54" t="str">
        <f aca="false">IF(AND(B17="Decision",K17&lt;&gt;"Closed"),ROW(),"")</f>
        <v/>
      </c>
    </row>
    <row r="18" customFormat="false" ht="15" hidden="false" customHeight="false" outlineLevel="0" collapsed="false">
      <c r="G18" s="0" t="str">
        <f aca="false">IF(OR(E18="",F18=""),"",E18*F18)</f>
        <v/>
      </c>
      <c r="H18" s="0" t="str">
        <f aca="false">IF(G18="",IF(B18="","","n/a"),IF(G18&gt;=15,"High",IF(G18&gt;=8,"Medium","Low")))</f>
        <v/>
      </c>
      <c r="J18" s="51"/>
      <c r="M18" s="0" t="str">
        <f aca="false">IF(J18="","",IF(K18="Closed","",AsOf-J18))</f>
        <v/>
      </c>
      <c r="N18" s="54" t="str">
        <f aca="false">IF(AND(OR(B18="Risk",B18="Issue"),K18&lt;&gt;"Closed",G18&lt;&gt;""),G18+ROW()/1000,"")</f>
        <v/>
      </c>
      <c r="O18" s="54" t="str">
        <f aca="false">IF(AND(B18="Decision",K18&lt;&gt;"Closed"),ROW(),"")</f>
        <v/>
      </c>
    </row>
    <row r="19" customFormat="false" ht="15" hidden="false" customHeight="false" outlineLevel="0" collapsed="false">
      <c r="G19" s="0" t="str">
        <f aca="false">IF(OR(E19="",F19=""),"",E19*F19)</f>
        <v/>
      </c>
      <c r="H19" s="0" t="str">
        <f aca="false">IF(G19="",IF(B19="","","n/a"),IF(G19&gt;=15,"High",IF(G19&gt;=8,"Medium","Low")))</f>
        <v/>
      </c>
      <c r="J19" s="51"/>
      <c r="M19" s="0" t="str">
        <f aca="false">IF(J19="","",IF(K19="Closed","",AsOf-J19))</f>
        <v/>
      </c>
      <c r="N19" s="54" t="str">
        <f aca="false">IF(AND(OR(B19="Risk",B19="Issue"),K19&lt;&gt;"Closed",G19&lt;&gt;""),G19+ROW()/1000,"")</f>
        <v/>
      </c>
      <c r="O19" s="54" t="str">
        <f aca="false">IF(AND(B19="Decision",K19&lt;&gt;"Closed"),ROW(),"")</f>
        <v/>
      </c>
    </row>
    <row r="20" customFormat="false" ht="15" hidden="false" customHeight="false" outlineLevel="0" collapsed="false">
      <c r="G20" s="0" t="str">
        <f aca="false">IF(OR(E20="",F20=""),"",E20*F20)</f>
        <v/>
      </c>
      <c r="H20" s="0" t="str">
        <f aca="false">IF(G20="",IF(B20="","","n/a"),IF(G20&gt;=15,"High",IF(G20&gt;=8,"Medium","Low")))</f>
        <v/>
      </c>
      <c r="J20" s="51"/>
      <c r="M20" s="0" t="str">
        <f aca="false">IF(J20="","",IF(K20="Closed","",AsOf-J20))</f>
        <v/>
      </c>
      <c r="N20" s="54" t="str">
        <f aca="false">IF(AND(OR(B20="Risk",B20="Issue"),K20&lt;&gt;"Closed",G20&lt;&gt;""),G20+ROW()/1000,"")</f>
        <v/>
      </c>
      <c r="O20" s="54" t="str">
        <f aca="false">IF(AND(B20="Decision",K20&lt;&gt;"Closed"),ROW(),"")</f>
        <v/>
      </c>
    </row>
    <row r="21" customFormat="false" ht="15" hidden="false" customHeight="false" outlineLevel="0" collapsed="false">
      <c r="G21" s="0" t="str">
        <f aca="false">IF(OR(E21="",F21=""),"",E21*F21)</f>
        <v/>
      </c>
      <c r="H21" s="0" t="str">
        <f aca="false">IF(G21="",IF(B21="","","n/a"),IF(G21&gt;=15,"High",IF(G21&gt;=8,"Medium","Low")))</f>
        <v/>
      </c>
      <c r="J21" s="51"/>
      <c r="M21" s="0" t="str">
        <f aca="false">IF(J21="","",IF(K21="Closed","",AsOf-J21))</f>
        <v/>
      </c>
      <c r="N21" s="54" t="str">
        <f aca="false">IF(AND(OR(B21="Risk",B21="Issue"),K21&lt;&gt;"Closed",G21&lt;&gt;""),G21+ROW()/1000,"")</f>
        <v/>
      </c>
      <c r="O21" s="54" t="str">
        <f aca="false">IF(AND(B21="Decision",K21&lt;&gt;"Closed"),ROW(),"")</f>
        <v/>
      </c>
    </row>
    <row r="22" customFormat="false" ht="15" hidden="false" customHeight="false" outlineLevel="0" collapsed="false">
      <c r="G22" s="0" t="str">
        <f aca="false">IF(OR(E22="",F22=""),"",E22*F22)</f>
        <v/>
      </c>
      <c r="H22" s="0" t="str">
        <f aca="false">IF(G22="",IF(B22="","","n/a"),IF(G22&gt;=15,"High",IF(G22&gt;=8,"Medium","Low")))</f>
        <v/>
      </c>
      <c r="J22" s="51"/>
      <c r="M22" s="0" t="str">
        <f aca="false">IF(J22="","",IF(K22="Closed","",AsOf-J22))</f>
        <v/>
      </c>
      <c r="N22" s="54" t="str">
        <f aca="false">IF(AND(OR(B22="Risk",B22="Issue"),K22&lt;&gt;"Closed",G22&lt;&gt;""),G22+ROW()/1000,"")</f>
        <v/>
      </c>
      <c r="O22" s="54" t="str">
        <f aca="false">IF(AND(B22="Decision",K22&lt;&gt;"Closed"),ROW(),"")</f>
        <v/>
      </c>
    </row>
    <row r="23" customFormat="false" ht="15" hidden="false" customHeight="false" outlineLevel="0" collapsed="false">
      <c r="G23" s="0" t="str">
        <f aca="false">IF(OR(E23="",F23=""),"",E23*F23)</f>
        <v/>
      </c>
      <c r="H23" s="0" t="str">
        <f aca="false">IF(G23="",IF(B23="","","n/a"),IF(G23&gt;=15,"High",IF(G23&gt;=8,"Medium","Low")))</f>
        <v/>
      </c>
      <c r="J23" s="51"/>
      <c r="M23" s="0" t="str">
        <f aca="false">IF(J23="","",IF(K23="Closed","",AsOf-J23))</f>
        <v/>
      </c>
      <c r="N23" s="54" t="str">
        <f aca="false">IF(AND(OR(B23="Risk",B23="Issue"),K23&lt;&gt;"Closed",G23&lt;&gt;""),G23+ROW()/1000,"")</f>
        <v/>
      </c>
      <c r="O23" s="54" t="str">
        <f aca="false">IF(AND(B23="Decision",K23&lt;&gt;"Closed"),ROW(),"")</f>
        <v/>
      </c>
    </row>
    <row r="24" customFormat="false" ht="15" hidden="false" customHeight="false" outlineLevel="0" collapsed="false">
      <c r="G24" s="0" t="str">
        <f aca="false">IF(OR(E24="",F24=""),"",E24*F24)</f>
        <v/>
      </c>
      <c r="H24" s="0" t="str">
        <f aca="false">IF(G24="",IF(B24="","","n/a"),IF(G24&gt;=15,"High",IF(G24&gt;=8,"Medium","Low")))</f>
        <v/>
      </c>
      <c r="J24" s="51"/>
      <c r="M24" s="0" t="str">
        <f aca="false">IF(J24="","",IF(K24="Closed","",AsOf-J24))</f>
        <v/>
      </c>
      <c r="N24" s="54" t="str">
        <f aca="false">IF(AND(OR(B24="Risk",B24="Issue"),K24&lt;&gt;"Closed",G24&lt;&gt;""),G24+ROW()/1000,"")</f>
        <v/>
      </c>
      <c r="O24" s="54" t="str">
        <f aca="false">IF(AND(B24="Decision",K24&lt;&gt;"Closed"),ROW(),"")</f>
        <v/>
      </c>
    </row>
    <row r="25" customFormat="false" ht="15" hidden="false" customHeight="false" outlineLevel="0" collapsed="false">
      <c r="G25" s="0" t="str">
        <f aca="false">IF(OR(E25="",F25=""),"",E25*F25)</f>
        <v/>
      </c>
      <c r="H25" s="0" t="str">
        <f aca="false">IF(G25="",IF(B25="","","n/a"),IF(G25&gt;=15,"High",IF(G25&gt;=8,"Medium","Low")))</f>
        <v/>
      </c>
      <c r="J25" s="51"/>
      <c r="M25" s="0" t="str">
        <f aca="false">IF(J25="","",IF(K25="Closed","",AsOf-J25))</f>
        <v/>
      </c>
      <c r="N25" s="54" t="str">
        <f aca="false">IF(AND(OR(B25="Risk",B25="Issue"),K25&lt;&gt;"Closed",G25&lt;&gt;""),G25+ROW()/1000,"")</f>
        <v/>
      </c>
      <c r="O25" s="54" t="str">
        <f aca="false">IF(AND(B25="Decision",K25&lt;&gt;"Closed"),ROW(),"")</f>
        <v/>
      </c>
    </row>
    <row r="26" customFormat="false" ht="15" hidden="false" customHeight="false" outlineLevel="0" collapsed="false">
      <c r="G26" s="0" t="str">
        <f aca="false">IF(OR(E26="",F26=""),"",E26*F26)</f>
        <v/>
      </c>
      <c r="H26" s="0" t="str">
        <f aca="false">IF(G26="",IF(B26="","","n/a"),IF(G26&gt;=15,"High",IF(G26&gt;=8,"Medium","Low")))</f>
        <v/>
      </c>
      <c r="J26" s="51"/>
      <c r="M26" s="0" t="str">
        <f aca="false">IF(J26="","",IF(K26="Closed","",AsOf-J26))</f>
        <v/>
      </c>
      <c r="N26" s="54" t="str">
        <f aca="false">IF(AND(OR(B26="Risk",B26="Issue"),K26&lt;&gt;"Closed",G26&lt;&gt;""),G26+ROW()/1000,"")</f>
        <v/>
      </c>
      <c r="O26" s="54" t="str">
        <f aca="false">IF(AND(B26="Decision",K26&lt;&gt;"Closed"),ROW(),"")</f>
        <v/>
      </c>
    </row>
    <row r="27" customFormat="false" ht="15" hidden="false" customHeight="false" outlineLevel="0" collapsed="false">
      <c r="G27" s="0" t="str">
        <f aca="false">IF(OR(E27="",F27=""),"",E27*F27)</f>
        <v/>
      </c>
      <c r="H27" s="0" t="str">
        <f aca="false">IF(G27="",IF(B27="","","n/a"),IF(G27&gt;=15,"High",IF(G27&gt;=8,"Medium","Low")))</f>
        <v/>
      </c>
      <c r="J27" s="51"/>
      <c r="M27" s="0" t="str">
        <f aca="false">IF(J27="","",IF(K27="Closed","",AsOf-J27))</f>
        <v/>
      </c>
      <c r="N27" s="54" t="str">
        <f aca="false">IF(AND(OR(B27="Risk",B27="Issue"),K27&lt;&gt;"Closed",G27&lt;&gt;""),G27+ROW()/1000,"")</f>
        <v/>
      </c>
      <c r="O27" s="54" t="str">
        <f aca="false">IF(AND(B27="Decision",K27&lt;&gt;"Closed"),ROW(),"")</f>
        <v/>
      </c>
    </row>
    <row r="28" customFormat="false" ht="15" hidden="false" customHeight="false" outlineLevel="0" collapsed="false">
      <c r="G28" s="0" t="str">
        <f aca="false">IF(OR(E28="",F28=""),"",E28*F28)</f>
        <v/>
      </c>
      <c r="H28" s="0" t="str">
        <f aca="false">IF(G28="",IF(B28="","","n/a"),IF(G28&gt;=15,"High",IF(G28&gt;=8,"Medium","Low")))</f>
        <v/>
      </c>
      <c r="J28" s="51"/>
      <c r="M28" s="0" t="str">
        <f aca="false">IF(J28="","",IF(K28="Closed","",AsOf-J28))</f>
        <v/>
      </c>
      <c r="N28" s="54" t="str">
        <f aca="false">IF(AND(OR(B28="Risk",B28="Issue"),K28&lt;&gt;"Closed",G28&lt;&gt;""),G28+ROW()/1000,"")</f>
        <v/>
      </c>
      <c r="O28" s="54" t="str">
        <f aca="false">IF(AND(B28="Decision",K28&lt;&gt;"Closed"),ROW(),"")</f>
        <v/>
      </c>
    </row>
    <row r="29" customFormat="false" ht="15" hidden="false" customHeight="false" outlineLevel="0" collapsed="false">
      <c r="G29" s="0" t="str">
        <f aca="false">IF(OR(E29="",F29=""),"",E29*F29)</f>
        <v/>
      </c>
      <c r="H29" s="0" t="str">
        <f aca="false">IF(G29="",IF(B29="","","n/a"),IF(G29&gt;=15,"High",IF(G29&gt;=8,"Medium","Low")))</f>
        <v/>
      </c>
      <c r="J29" s="51"/>
      <c r="M29" s="0" t="str">
        <f aca="false">IF(J29="","",IF(K29="Closed","",AsOf-J29))</f>
        <v/>
      </c>
      <c r="N29" s="54" t="str">
        <f aca="false">IF(AND(OR(B29="Risk",B29="Issue"),K29&lt;&gt;"Closed",G29&lt;&gt;""),G29+ROW()/1000,"")</f>
        <v/>
      </c>
      <c r="O29" s="54" t="str">
        <f aca="false">IF(AND(B29="Decision",K29&lt;&gt;"Closed"),ROW(),"")</f>
        <v/>
      </c>
    </row>
    <row r="30" customFormat="false" ht="15" hidden="false" customHeight="false" outlineLevel="0" collapsed="false">
      <c r="G30" s="0" t="str">
        <f aca="false">IF(OR(E30="",F30=""),"",E30*F30)</f>
        <v/>
      </c>
      <c r="H30" s="0" t="str">
        <f aca="false">IF(G30="",IF(B30="","","n/a"),IF(G30&gt;=15,"High",IF(G30&gt;=8,"Medium","Low")))</f>
        <v/>
      </c>
      <c r="J30" s="51"/>
      <c r="M30" s="0" t="str">
        <f aca="false">IF(J30="","",IF(K30="Closed","",AsOf-J30))</f>
        <v/>
      </c>
      <c r="N30" s="54" t="str">
        <f aca="false">IF(AND(OR(B30="Risk",B30="Issue"),K30&lt;&gt;"Closed",G30&lt;&gt;""),G30+ROW()/1000,"")</f>
        <v/>
      </c>
      <c r="O30" s="54" t="str">
        <f aca="false">IF(AND(B30="Decision",K30&lt;&gt;"Closed"),ROW(),"")</f>
        <v/>
      </c>
    </row>
    <row r="31" customFormat="false" ht="15" hidden="false" customHeight="false" outlineLevel="0" collapsed="false">
      <c r="G31" s="0" t="str">
        <f aca="false">IF(OR(E31="",F31=""),"",E31*F31)</f>
        <v/>
      </c>
      <c r="H31" s="0" t="str">
        <f aca="false">IF(G31="",IF(B31="","","n/a"),IF(G31&gt;=15,"High",IF(G31&gt;=8,"Medium","Low")))</f>
        <v/>
      </c>
      <c r="J31" s="51"/>
      <c r="M31" s="0" t="str">
        <f aca="false">IF(J31="","",IF(K31="Closed","",AsOf-J31))</f>
        <v/>
      </c>
      <c r="N31" s="54" t="str">
        <f aca="false">IF(AND(OR(B31="Risk",B31="Issue"),K31&lt;&gt;"Closed",G31&lt;&gt;""),G31+ROW()/1000,"")</f>
        <v/>
      </c>
      <c r="O31" s="54" t="str">
        <f aca="false">IF(AND(B31="Decision",K31&lt;&gt;"Closed"),ROW(),"")</f>
        <v/>
      </c>
    </row>
    <row r="32" customFormat="false" ht="15" hidden="false" customHeight="false" outlineLevel="0" collapsed="false">
      <c r="G32" s="0" t="str">
        <f aca="false">IF(OR(E32="",F32=""),"",E32*F32)</f>
        <v/>
      </c>
      <c r="H32" s="0" t="str">
        <f aca="false">IF(G32="",IF(B32="","","n/a"),IF(G32&gt;=15,"High",IF(G32&gt;=8,"Medium","Low")))</f>
        <v/>
      </c>
      <c r="J32" s="51"/>
      <c r="M32" s="0" t="str">
        <f aca="false">IF(J32="","",IF(K32="Closed","",AsOf-J32))</f>
        <v/>
      </c>
      <c r="N32" s="54" t="str">
        <f aca="false">IF(AND(OR(B32="Risk",B32="Issue"),K32&lt;&gt;"Closed",G32&lt;&gt;""),G32+ROW()/1000,"")</f>
        <v/>
      </c>
      <c r="O32" s="54" t="str">
        <f aca="false">IF(AND(B32="Decision",K32&lt;&gt;"Closed"),ROW(),"")</f>
        <v/>
      </c>
    </row>
    <row r="33" customFormat="false" ht="15" hidden="false" customHeight="false" outlineLevel="0" collapsed="false">
      <c r="G33" s="0" t="str">
        <f aca="false">IF(OR(E33="",F33=""),"",E33*F33)</f>
        <v/>
      </c>
      <c r="H33" s="0" t="str">
        <f aca="false">IF(G33="",IF(B33="","","n/a"),IF(G33&gt;=15,"High",IF(G33&gt;=8,"Medium","Low")))</f>
        <v/>
      </c>
      <c r="J33" s="51"/>
      <c r="M33" s="0" t="str">
        <f aca="false">IF(J33="","",IF(K33="Closed","",AsOf-J33))</f>
        <v/>
      </c>
      <c r="N33" s="54" t="str">
        <f aca="false">IF(AND(OR(B33="Risk",B33="Issue"),K33&lt;&gt;"Closed",G33&lt;&gt;""),G33+ROW()/1000,"")</f>
        <v/>
      </c>
      <c r="O33" s="54" t="str">
        <f aca="false">IF(AND(B33="Decision",K33&lt;&gt;"Closed"),ROW(),"")</f>
        <v/>
      </c>
    </row>
    <row r="34" customFormat="false" ht="15" hidden="false" customHeight="false" outlineLevel="0" collapsed="false">
      <c r="G34" s="0" t="str">
        <f aca="false">IF(OR(E34="",F34=""),"",E34*F34)</f>
        <v/>
      </c>
      <c r="H34" s="0" t="str">
        <f aca="false">IF(G34="",IF(B34="","","n/a"),IF(G34&gt;=15,"High",IF(G34&gt;=8,"Medium","Low")))</f>
        <v/>
      </c>
      <c r="J34" s="51"/>
      <c r="M34" s="0" t="str">
        <f aca="false">IF(J34="","",IF(K34="Closed","",AsOf-J34))</f>
        <v/>
      </c>
      <c r="N34" s="54" t="str">
        <f aca="false">IF(AND(OR(B34="Risk",B34="Issue"),K34&lt;&gt;"Closed",G34&lt;&gt;""),G34+ROW()/1000,"")</f>
        <v/>
      </c>
      <c r="O34" s="54" t="str">
        <f aca="false">IF(AND(B34="Decision",K34&lt;&gt;"Closed"),ROW(),"")</f>
        <v/>
      </c>
    </row>
    <row r="35" customFormat="false" ht="15" hidden="false" customHeight="false" outlineLevel="0" collapsed="false">
      <c r="G35" s="0" t="str">
        <f aca="false">IF(OR(E35="",F35=""),"",E35*F35)</f>
        <v/>
      </c>
      <c r="H35" s="0" t="str">
        <f aca="false">IF(G35="",IF(B35="","","n/a"),IF(G35&gt;=15,"High",IF(G35&gt;=8,"Medium","Low")))</f>
        <v/>
      </c>
      <c r="J35" s="51"/>
      <c r="M35" s="0" t="str">
        <f aca="false">IF(J35="","",IF(K35="Closed","",AsOf-J35))</f>
        <v/>
      </c>
      <c r="N35" s="54" t="str">
        <f aca="false">IF(AND(OR(B35="Risk",B35="Issue"),K35&lt;&gt;"Closed",G35&lt;&gt;""),G35+ROW()/1000,"")</f>
        <v/>
      </c>
      <c r="O35" s="54" t="str">
        <f aca="false">IF(AND(B35="Decision",K35&lt;&gt;"Closed"),ROW(),"")</f>
        <v/>
      </c>
    </row>
    <row r="36" customFormat="false" ht="15" hidden="false" customHeight="false" outlineLevel="0" collapsed="false">
      <c r="G36" s="0" t="str">
        <f aca="false">IF(OR(E36="",F36=""),"",E36*F36)</f>
        <v/>
      </c>
      <c r="H36" s="0" t="str">
        <f aca="false">IF(G36="",IF(B36="","","n/a"),IF(G36&gt;=15,"High",IF(G36&gt;=8,"Medium","Low")))</f>
        <v/>
      </c>
      <c r="J36" s="51"/>
      <c r="M36" s="0" t="str">
        <f aca="false">IF(J36="","",IF(K36="Closed","",AsOf-J36))</f>
        <v/>
      </c>
      <c r="N36" s="54" t="str">
        <f aca="false">IF(AND(OR(B36="Risk",B36="Issue"),K36&lt;&gt;"Closed",G36&lt;&gt;""),G36+ROW()/1000,"")</f>
        <v/>
      </c>
      <c r="O36" s="54" t="str">
        <f aca="false">IF(AND(B36="Decision",K36&lt;&gt;"Closed"),ROW(),"")</f>
        <v/>
      </c>
    </row>
    <row r="37" customFormat="false" ht="15" hidden="false" customHeight="false" outlineLevel="0" collapsed="false">
      <c r="G37" s="0" t="str">
        <f aca="false">IF(OR(E37="",F37=""),"",E37*F37)</f>
        <v/>
      </c>
      <c r="H37" s="0" t="str">
        <f aca="false">IF(G37="",IF(B37="","","n/a"),IF(G37&gt;=15,"High",IF(G37&gt;=8,"Medium","Low")))</f>
        <v/>
      </c>
      <c r="J37" s="51"/>
      <c r="M37" s="0" t="str">
        <f aca="false">IF(J37="","",IF(K37="Closed","",AsOf-J37))</f>
        <v/>
      </c>
      <c r="N37" s="54" t="str">
        <f aca="false">IF(AND(OR(B37="Risk",B37="Issue"),K37&lt;&gt;"Closed",G37&lt;&gt;""),G37+ROW()/1000,"")</f>
        <v/>
      </c>
      <c r="O37" s="54" t="str">
        <f aca="false">IF(AND(B37="Decision",K37&lt;&gt;"Closed"),ROW(),"")</f>
        <v/>
      </c>
    </row>
    <row r="38" customFormat="false" ht="15" hidden="false" customHeight="false" outlineLevel="0" collapsed="false">
      <c r="G38" s="0" t="str">
        <f aca="false">IF(OR(E38="",F38=""),"",E38*F38)</f>
        <v/>
      </c>
      <c r="H38" s="0" t="str">
        <f aca="false">IF(G38="",IF(B38="","","n/a"),IF(G38&gt;=15,"High",IF(G38&gt;=8,"Medium","Low")))</f>
        <v/>
      </c>
      <c r="J38" s="51"/>
      <c r="M38" s="0" t="str">
        <f aca="false">IF(J38="","",IF(K38="Closed","",AsOf-J38))</f>
        <v/>
      </c>
      <c r="N38" s="54" t="str">
        <f aca="false">IF(AND(OR(B38="Risk",B38="Issue"),K38&lt;&gt;"Closed",G38&lt;&gt;""),G38+ROW()/1000,"")</f>
        <v/>
      </c>
      <c r="O38" s="54" t="str">
        <f aca="false">IF(AND(B38="Decision",K38&lt;&gt;"Closed"),ROW(),"")</f>
        <v/>
      </c>
    </row>
    <row r="39" customFormat="false" ht="15" hidden="false" customHeight="false" outlineLevel="0" collapsed="false">
      <c r="G39" s="0" t="str">
        <f aca="false">IF(OR(E39="",F39=""),"",E39*F39)</f>
        <v/>
      </c>
      <c r="H39" s="0" t="str">
        <f aca="false">IF(G39="",IF(B39="","","n/a"),IF(G39&gt;=15,"High",IF(G39&gt;=8,"Medium","Low")))</f>
        <v/>
      </c>
      <c r="J39" s="51"/>
      <c r="M39" s="0" t="str">
        <f aca="false">IF(J39="","",IF(K39="Closed","",AsOf-J39))</f>
        <v/>
      </c>
      <c r="N39" s="54" t="str">
        <f aca="false">IF(AND(OR(B39="Risk",B39="Issue"),K39&lt;&gt;"Closed",G39&lt;&gt;""),G39+ROW()/1000,"")</f>
        <v/>
      </c>
      <c r="O39" s="54" t="str">
        <f aca="false">IF(AND(B39="Decision",K39&lt;&gt;"Closed"),ROW(),"")</f>
        <v/>
      </c>
    </row>
    <row r="40" customFormat="false" ht="15" hidden="false" customHeight="false" outlineLevel="0" collapsed="false">
      <c r="G40" s="0" t="str">
        <f aca="false">IF(OR(E40="",F40=""),"",E40*F40)</f>
        <v/>
      </c>
      <c r="H40" s="0" t="str">
        <f aca="false">IF(G40="",IF(B40="","","n/a"),IF(G40&gt;=15,"High",IF(G40&gt;=8,"Medium","Low")))</f>
        <v/>
      </c>
      <c r="J40" s="51"/>
      <c r="M40" s="0" t="str">
        <f aca="false">IF(J40="","",IF(K40="Closed","",AsOf-J40))</f>
        <v/>
      </c>
      <c r="N40" s="54" t="str">
        <f aca="false">IF(AND(OR(B40="Risk",B40="Issue"),K40&lt;&gt;"Closed",G40&lt;&gt;""),G40+ROW()/1000,"")</f>
        <v/>
      </c>
      <c r="O40" s="54" t="str">
        <f aca="false">IF(AND(B40="Decision",K40&lt;&gt;"Closed"),ROW(),"")</f>
        <v/>
      </c>
    </row>
    <row r="41" customFormat="false" ht="15" hidden="false" customHeight="false" outlineLevel="0" collapsed="false">
      <c r="G41" s="0" t="str">
        <f aca="false">IF(OR(E41="",F41=""),"",E41*F41)</f>
        <v/>
      </c>
      <c r="H41" s="0" t="str">
        <f aca="false">IF(G41="",IF(B41="","","n/a"),IF(G41&gt;=15,"High",IF(G41&gt;=8,"Medium","Low")))</f>
        <v/>
      </c>
      <c r="J41" s="51"/>
      <c r="M41" s="0" t="str">
        <f aca="false">IF(J41="","",IF(K41="Closed","",AsOf-J41))</f>
        <v/>
      </c>
      <c r="N41" s="54" t="str">
        <f aca="false">IF(AND(OR(B41="Risk",B41="Issue"),K41&lt;&gt;"Closed",G41&lt;&gt;""),G41+ROW()/1000,"")</f>
        <v/>
      </c>
      <c r="O41" s="54" t="str">
        <f aca="false">IF(AND(B41="Decision",K41&lt;&gt;"Closed"),ROW(),"")</f>
        <v/>
      </c>
    </row>
    <row r="42" customFormat="false" ht="15" hidden="false" customHeight="false" outlineLevel="0" collapsed="false">
      <c r="G42" s="0" t="str">
        <f aca="false">IF(OR(E42="",F42=""),"",E42*F42)</f>
        <v/>
      </c>
      <c r="H42" s="0" t="str">
        <f aca="false">IF(G42="",IF(B42="","","n/a"),IF(G42&gt;=15,"High",IF(G42&gt;=8,"Medium","Low")))</f>
        <v/>
      </c>
      <c r="J42" s="51"/>
      <c r="M42" s="0" t="str">
        <f aca="false">IF(J42="","",IF(K42="Closed","",AsOf-J42))</f>
        <v/>
      </c>
      <c r="N42" s="54" t="str">
        <f aca="false">IF(AND(OR(B42="Risk",B42="Issue"),K42&lt;&gt;"Closed",G42&lt;&gt;""),G42+ROW()/1000,"")</f>
        <v/>
      </c>
      <c r="O42" s="54" t="str">
        <f aca="false">IF(AND(B42="Decision",K42&lt;&gt;"Closed"),ROW(),"")</f>
        <v/>
      </c>
    </row>
    <row r="43" customFormat="false" ht="15" hidden="false" customHeight="false" outlineLevel="0" collapsed="false">
      <c r="G43" s="0" t="str">
        <f aca="false">IF(OR(E43="",F43=""),"",E43*F43)</f>
        <v/>
      </c>
      <c r="H43" s="0" t="str">
        <f aca="false">IF(G43="",IF(B43="","","n/a"),IF(G43&gt;=15,"High",IF(G43&gt;=8,"Medium","Low")))</f>
        <v/>
      </c>
      <c r="J43" s="51"/>
      <c r="M43" s="0" t="str">
        <f aca="false">IF(J43="","",IF(K43="Closed","",AsOf-J43))</f>
        <v/>
      </c>
      <c r="N43" s="54" t="str">
        <f aca="false">IF(AND(OR(B43="Risk",B43="Issue"),K43&lt;&gt;"Closed",G43&lt;&gt;""),G43+ROW()/1000,"")</f>
        <v/>
      </c>
      <c r="O43" s="54" t="str">
        <f aca="false">IF(AND(B43="Decision",K43&lt;&gt;"Closed"),ROW(),"")</f>
        <v/>
      </c>
    </row>
    <row r="44" customFormat="false" ht="15" hidden="false" customHeight="false" outlineLevel="0" collapsed="false">
      <c r="G44" s="0" t="str">
        <f aca="false">IF(OR(E44="",F44=""),"",E44*F44)</f>
        <v/>
      </c>
      <c r="H44" s="0" t="str">
        <f aca="false">IF(G44="",IF(B44="","","n/a"),IF(G44&gt;=15,"High",IF(G44&gt;=8,"Medium","Low")))</f>
        <v/>
      </c>
      <c r="J44" s="51"/>
      <c r="M44" s="0" t="str">
        <f aca="false">IF(J44="","",IF(K44="Closed","",AsOf-J44))</f>
        <v/>
      </c>
      <c r="N44" s="54" t="str">
        <f aca="false">IF(AND(OR(B44="Risk",B44="Issue"),K44&lt;&gt;"Closed",G44&lt;&gt;""),G44+ROW()/1000,"")</f>
        <v/>
      </c>
      <c r="O44" s="54" t="str">
        <f aca="false">IF(AND(B44="Decision",K44&lt;&gt;"Closed"),ROW(),"")</f>
        <v/>
      </c>
    </row>
    <row r="45" customFormat="false" ht="15" hidden="false" customHeight="false" outlineLevel="0" collapsed="false">
      <c r="G45" s="0" t="str">
        <f aca="false">IF(OR(E45="",F45=""),"",E45*F45)</f>
        <v/>
      </c>
      <c r="H45" s="0" t="str">
        <f aca="false">IF(G45="",IF(B45="","","n/a"),IF(G45&gt;=15,"High",IF(G45&gt;=8,"Medium","Low")))</f>
        <v/>
      </c>
      <c r="J45" s="51"/>
      <c r="M45" s="0" t="str">
        <f aca="false">IF(J45="","",IF(K45="Closed","",AsOf-J45))</f>
        <v/>
      </c>
      <c r="N45" s="54" t="str">
        <f aca="false">IF(AND(OR(B45="Risk",B45="Issue"),K45&lt;&gt;"Closed",G45&lt;&gt;""),G45+ROW()/1000,"")</f>
        <v/>
      </c>
      <c r="O45" s="54" t="str">
        <f aca="false">IF(AND(B45="Decision",K45&lt;&gt;"Closed"),ROW(),"")</f>
        <v/>
      </c>
    </row>
    <row r="46" customFormat="false" ht="15" hidden="false" customHeight="false" outlineLevel="0" collapsed="false">
      <c r="G46" s="0" t="str">
        <f aca="false">IF(OR(E46="",F46=""),"",E46*F46)</f>
        <v/>
      </c>
      <c r="H46" s="0" t="str">
        <f aca="false">IF(G46="",IF(B46="","","n/a"),IF(G46&gt;=15,"High",IF(G46&gt;=8,"Medium","Low")))</f>
        <v/>
      </c>
      <c r="J46" s="51"/>
      <c r="M46" s="0" t="str">
        <f aca="false">IF(J46="","",IF(K46="Closed","",AsOf-J46))</f>
        <v/>
      </c>
      <c r="N46" s="54" t="str">
        <f aca="false">IF(AND(OR(B46="Risk",B46="Issue"),K46&lt;&gt;"Closed",G46&lt;&gt;""),G46+ROW()/1000,"")</f>
        <v/>
      </c>
      <c r="O46" s="54" t="str">
        <f aca="false">IF(AND(B46="Decision",K46&lt;&gt;"Closed"),ROW(),"")</f>
        <v/>
      </c>
    </row>
    <row r="47" customFormat="false" ht="15" hidden="false" customHeight="false" outlineLevel="0" collapsed="false">
      <c r="G47" s="0" t="str">
        <f aca="false">IF(OR(E47="",F47=""),"",E47*F47)</f>
        <v/>
      </c>
      <c r="H47" s="0" t="str">
        <f aca="false">IF(G47="",IF(B47="","","n/a"),IF(G47&gt;=15,"High",IF(G47&gt;=8,"Medium","Low")))</f>
        <v/>
      </c>
      <c r="J47" s="51"/>
      <c r="M47" s="0" t="str">
        <f aca="false">IF(J47="","",IF(K47="Closed","",AsOf-J47))</f>
        <v/>
      </c>
      <c r="N47" s="54" t="str">
        <f aca="false">IF(AND(OR(B47="Risk",B47="Issue"),K47&lt;&gt;"Closed",G47&lt;&gt;""),G47+ROW()/1000,"")</f>
        <v/>
      </c>
      <c r="O47" s="54" t="str">
        <f aca="false">IF(AND(B47="Decision",K47&lt;&gt;"Closed"),ROW(),"")</f>
        <v/>
      </c>
    </row>
    <row r="48" customFormat="false" ht="15" hidden="false" customHeight="false" outlineLevel="0" collapsed="false">
      <c r="G48" s="0" t="str">
        <f aca="false">IF(OR(E48="",F48=""),"",E48*F48)</f>
        <v/>
      </c>
      <c r="H48" s="0" t="str">
        <f aca="false">IF(G48="",IF(B48="","","n/a"),IF(G48&gt;=15,"High",IF(G48&gt;=8,"Medium","Low")))</f>
        <v/>
      </c>
      <c r="J48" s="51"/>
      <c r="M48" s="0" t="str">
        <f aca="false">IF(J48="","",IF(K48="Closed","",AsOf-J48))</f>
        <v/>
      </c>
      <c r="N48" s="54" t="str">
        <f aca="false">IF(AND(OR(B48="Risk",B48="Issue"),K48&lt;&gt;"Closed",G48&lt;&gt;""),G48+ROW()/1000,"")</f>
        <v/>
      </c>
      <c r="O48" s="54" t="str">
        <f aca="false">IF(AND(B48="Decision",K48&lt;&gt;"Closed"),ROW(),"")</f>
        <v/>
      </c>
    </row>
    <row r="49" customFormat="false" ht="15" hidden="false" customHeight="false" outlineLevel="0" collapsed="false">
      <c r="G49" s="0" t="str">
        <f aca="false">IF(OR(E49="",F49=""),"",E49*F49)</f>
        <v/>
      </c>
      <c r="H49" s="0" t="str">
        <f aca="false">IF(G49="",IF(B49="","","n/a"),IF(G49&gt;=15,"High",IF(G49&gt;=8,"Medium","Low")))</f>
        <v/>
      </c>
      <c r="J49" s="51"/>
      <c r="M49" s="0" t="str">
        <f aca="false">IF(J49="","",IF(K49="Closed","",AsOf-J49))</f>
        <v/>
      </c>
      <c r="N49" s="54" t="str">
        <f aca="false">IF(AND(OR(B49="Risk",B49="Issue"),K49&lt;&gt;"Closed",G49&lt;&gt;""),G49+ROW()/1000,"")</f>
        <v/>
      </c>
      <c r="O49" s="54" t="str">
        <f aca="false">IF(AND(B49="Decision",K49&lt;&gt;"Closed"),ROW(),"")</f>
        <v/>
      </c>
    </row>
    <row r="50" customFormat="false" ht="15" hidden="false" customHeight="false" outlineLevel="0" collapsed="false">
      <c r="G50" s="0" t="str">
        <f aca="false">IF(OR(E50="",F50=""),"",E50*F50)</f>
        <v/>
      </c>
      <c r="H50" s="0" t="str">
        <f aca="false">IF(G50="",IF(B50="","","n/a"),IF(G50&gt;=15,"High",IF(G50&gt;=8,"Medium","Low")))</f>
        <v/>
      </c>
      <c r="J50" s="51"/>
      <c r="M50" s="0" t="str">
        <f aca="false">IF(J50="","",IF(K50="Closed","",AsOf-J50))</f>
        <v/>
      </c>
      <c r="N50" s="54" t="str">
        <f aca="false">IF(AND(OR(B50="Risk",B50="Issue"),K50&lt;&gt;"Closed",G50&lt;&gt;""),G50+ROW()/1000,"")</f>
        <v/>
      </c>
      <c r="O50" s="54" t="str">
        <f aca="false">IF(AND(B50="Decision",K50&lt;&gt;"Closed"),ROW(),"")</f>
        <v/>
      </c>
    </row>
    <row r="51" customFormat="false" ht="15" hidden="false" customHeight="false" outlineLevel="0" collapsed="false">
      <c r="G51" s="0" t="str">
        <f aca="false">IF(OR(E51="",F51=""),"",E51*F51)</f>
        <v/>
      </c>
      <c r="H51" s="0" t="str">
        <f aca="false">IF(G51="",IF(B51="","","n/a"),IF(G51&gt;=15,"High",IF(G51&gt;=8,"Medium","Low")))</f>
        <v/>
      </c>
      <c r="J51" s="51"/>
      <c r="M51" s="0" t="str">
        <f aca="false">IF(J51="","",IF(K51="Closed","",AsOf-J51))</f>
        <v/>
      </c>
      <c r="N51" s="54" t="str">
        <f aca="false">IF(AND(OR(B51="Risk",B51="Issue"),K51&lt;&gt;"Closed",G51&lt;&gt;""),G51+ROW()/1000,"")</f>
        <v/>
      </c>
      <c r="O51" s="54" t="str">
        <f aca="false">IF(AND(B51="Decision",K51&lt;&gt;"Closed"),ROW(),"")</f>
        <v/>
      </c>
    </row>
    <row r="52" customFormat="false" ht="15" hidden="false" customHeight="false" outlineLevel="0" collapsed="false">
      <c r="G52" s="0" t="str">
        <f aca="false">IF(OR(E52="",F52=""),"",E52*F52)</f>
        <v/>
      </c>
      <c r="H52" s="0" t="str">
        <f aca="false">IF(G52="",IF(B52="","","n/a"),IF(G52&gt;=15,"High",IF(G52&gt;=8,"Medium","Low")))</f>
        <v/>
      </c>
      <c r="J52" s="51"/>
      <c r="M52" s="0" t="str">
        <f aca="false">IF(J52="","",IF(K52="Closed","",AsOf-J52))</f>
        <v/>
      </c>
      <c r="N52" s="54" t="str">
        <f aca="false">IF(AND(OR(B52="Risk",B52="Issue"),K52&lt;&gt;"Closed",G52&lt;&gt;""),G52+ROW()/1000,"")</f>
        <v/>
      </c>
      <c r="O52" s="54" t="str">
        <f aca="false">IF(AND(B52="Decision",K52&lt;&gt;"Closed"),ROW(),"")</f>
        <v/>
      </c>
    </row>
    <row r="53" customFormat="false" ht="15" hidden="false" customHeight="false" outlineLevel="0" collapsed="false">
      <c r="G53" s="0" t="str">
        <f aca="false">IF(OR(E53="",F53=""),"",E53*F53)</f>
        <v/>
      </c>
      <c r="H53" s="0" t="str">
        <f aca="false">IF(G53="",IF(B53="","","n/a"),IF(G53&gt;=15,"High",IF(G53&gt;=8,"Medium","Low")))</f>
        <v/>
      </c>
      <c r="J53" s="51"/>
      <c r="M53" s="0" t="str">
        <f aca="false">IF(J53="","",IF(K53="Closed","",AsOf-J53))</f>
        <v/>
      </c>
      <c r="N53" s="54" t="str">
        <f aca="false">IF(AND(OR(B53="Risk",B53="Issue"),K53&lt;&gt;"Closed",G53&lt;&gt;""),G53+ROW()/1000,"")</f>
        <v/>
      </c>
      <c r="O53" s="54" t="str">
        <f aca="false">IF(AND(B53="Decision",K53&lt;&gt;"Closed"),ROW(),"")</f>
        <v/>
      </c>
    </row>
    <row r="54" customFormat="false" ht="15" hidden="false" customHeight="false" outlineLevel="0" collapsed="false">
      <c r="G54" s="0" t="str">
        <f aca="false">IF(OR(E54="",F54=""),"",E54*F54)</f>
        <v/>
      </c>
      <c r="H54" s="0" t="str">
        <f aca="false">IF(G54="",IF(B54="","","n/a"),IF(G54&gt;=15,"High",IF(G54&gt;=8,"Medium","Low")))</f>
        <v/>
      </c>
      <c r="J54" s="51"/>
      <c r="M54" s="0" t="str">
        <f aca="false">IF(J54="","",IF(K54="Closed","",AsOf-J54))</f>
        <v/>
      </c>
      <c r="N54" s="54" t="str">
        <f aca="false">IF(AND(OR(B54="Risk",B54="Issue"),K54&lt;&gt;"Closed",G54&lt;&gt;""),G54+ROW()/1000,"")</f>
        <v/>
      </c>
      <c r="O54" s="54" t="str">
        <f aca="false">IF(AND(B54="Decision",K54&lt;&gt;"Closed"),ROW(),"")</f>
        <v/>
      </c>
    </row>
    <row r="55" customFormat="false" ht="15" hidden="false" customHeight="false" outlineLevel="0" collapsed="false">
      <c r="G55" s="0" t="str">
        <f aca="false">IF(OR(E55="",F55=""),"",E55*F55)</f>
        <v/>
      </c>
      <c r="H55" s="0" t="str">
        <f aca="false">IF(G55="",IF(B55="","","n/a"),IF(G55&gt;=15,"High",IF(G55&gt;=8,"Medium","Low")))</f>
        <v/>
      </c>
      <c r="J55" s="51"/>
      <c r="M55" s="0" t="str">
        <f aca="false">IF(J55="","",IF(K55="Closed","",AsOf-J55))</f>
        <v/>
      </c>
      <c r="N55" s="54" t="str">
        <f aca="false">IF(AND(OR(B55="Risk",B55="Issue"),K55&lt;&gt;"Closed",G55&lt;&gt;""),G55+ROW()/1000,"")</f>
        <v/>
      </c>
      <c r="O55" s="54" t="str">
        <f aca="false">IF(AND(B55="Decision",K55&lt;&gt;"Closed"),ROW(),"")</f>
        <v/>
      </c>
    </row>
    <row r="56" customFormat="false" ht="15" hidden="false" customHeight="false" outlineLevel="0" collapsed="false">
      <c r="G56" s="0" t="str">
        <f aca="false">IF(OR(E56="",F56=""),"",E56*F56)</f>
        <v/>
      </c>
      <c r="H56" s="0" t="str">
        <f aca="false">IF(G56="",IF(B56="","","n/a"),IF(G56&gt;=15,"High",IF(G56&gt;=8,"Medium","Low")))</f>
        <v/>
      </c>
      <c r="J56" s="51"/>
      <c r="M56" s="0" t="str">
        <f aca="false">IF(J56="","",IF(K56="Closed","",AsOf-J56))</f>
        <v/>
      </c>
      <c r="N56" s="54" t="str">
        <f aca="false">IF(AND(OR(B56="Risk",B56="Issue"),K56&lt;&gt;"Closed",G56&lt;&gt;""),G56+ROW()/1000,"")</f>
        <v/>
      </c>
      <c r="O56" s="54" t="str">
        <f aca="false">IF(AND(B56="Decision",K56&lt;&gt;"Closed"),ROW(),"")</f>
        <v/>
      </c>
    </row>
    <row r="57" customFormat="false" ht="15" hidden="false" customHeight="false" outlineLevel="0" collapsed="false">
      <c r="G57" s="0" t="str">
        <f aca="false">IF(OR(E57="",F57=""),"",E57*F57)</f>
        <v/>
      </c>
      <c r="H57" s="0" t="str">
        <f aca="false">IF(G57="",IF(B57="","","n/a"),IF(G57&gt;=15,"High",IF(G57&gt;=8,"Medium","Low")))</f>
        <v/>
      </c>
      <c r="J57" s="51"/>
      <c r="M57" s="0" t="str">
        <f aca="false">IF(J57="","",IF(K57="Closed","",AsOf-J57))</f>
        <v/>
      </c>
      <c r="N57" s="54" t="str">
        <f aca="false">IF(AND(OR(B57="Risk",B57="Issue"),K57&lt;&gt;"Closed",G57&lt;&gt;""),G57+ROW()/1000,"")</f>
        <v/>
      </c>
      <c r="O57" s="54" t="str">
        <f aca="false">IF(AND(B57="Decision",K57&lt;&gt;"Closed"),ROW(),"")</f>
        <v/>
      </c>
    </row>
    <row r="58" customFormat="false" ht="15" hidden="false" customHeight="false" outlineLevel="0" collapsed="false">
      <c r="G58" s="0" t="str">
        <f aca="false">IF(OR(E58="",F58=""),"",E58*F58)</f>
        <v/>
      </c>
      <c r="H58" s="0" t="str">
        <f aca="false">IF(G58="",IF(B58="","","n/a"),IF(G58&gt;=15,"High",IF(G58&gt;=8,"Medium","Low")))</f>
        <v/>
      </c>
      <c r="J58" s="51"/>
      <c r="M58" s="0" t="str">
        <f aca="false">IF(J58="","",IF(K58="Closed","",AsOf-J58))</f>
        <v/>
      </c>
      <c r="N58" s="54" t="str">
        <f aca="false">IF(AND(OR(B58="Risk",B58="Issue"),K58&lt;&gt;"Closed",G58&lt;&gt;""),G58+ROW()/1000,"")</f>
        <v/>
      </c>
      <c r="O58" s="54" t="str">
        <f aca="false">IF(AND(B58="Decision",K58&lt;&gt;"Closed"),ROW(),"")</f>
        <v/>
      </c>
    </row>
    <row r="59" customFormat="false" ht="15" hidden="false" customHeight="false" outlineLevel="0" collapsed="false">
      <c r="G59" s="0" t="str">
        <f aca="false">IF(OR(E59="",F59=""),"",E59*F59)</f>
        <v/>
      </c>
      <c r="H59" s="0" t="str">
        <f aca="false">IF(G59="",IF(B59="","","n/a"),IF(G59&gt;=15,"High",IF(G59&gt;=8,"Medium","Low")))</f>
        <v/>
      </c>
      <c r="J59" s="51"/>
      <c r="M59" s="0" t="str">
        <f aca="false">IF(J59="","",IF(K59="Closed","",AsOf-J59))</f>
        <v/>
      </c>
      <c r="N59" s="54" t="str">
        <f aca="false">IF(AND(OR(B59="Risk",B59="Issue"),K59&lt;&gt;"Closed",G59&lt;&gt;""),G59+ROW()/1000,"")</f>
        <v/>
      </c>
      <c r="O59" s="54" t="str">
        <f aca="false">IF(AND(B59="Decision",K59&lt;&gt;"Closed"),ROW(),"")</f>
        <v/>
      </c>
    </row>
    <row r="60" customFormat="false" ht="15" hidden="false" customHeight="false" outlineLevel="0" collapsed="false">
      <c r="G60" s="0" t="str">
        <f aca="false">IF(OR(E60="",F60=""),"",E60*F60)</f>
        <v/>
      </c>
      <c r="H60" s="0" t="str">
        <f aca="false">IF(G60="",IF(B60="","","n/a"),IF(G60&gt;=15,"High",IF(G60&gt;=8,"Medium","Low")))</f>
        <v/>
      </c>
      <c r="J60" s="51"/>
      <c r="M60" s="0" t="str">
        <f aca="false">IF(J60="","",IF(K60="Closed","",AsOf-J60))</f>
        <v/>
      </c>
      <c r="N60" s="54" t="str">
        <f aca="false">IF(AND(OR(B60="Risk",B60="Issue"),K60&lt;&gt;"Closed",G60&lt;&gt;""),G60+ROW()/1000,"")</f>
        <v/>
      </c>
      <c r="O60" s="54" t="str">
        <f aca="false">IF(AND(B60="Decision",K60&lt;&gt;"Closed"),ROW(),"")</f>
        <v/>
      </c>
    </row>
  </sheetData>
  <conditionalFormatting sqref="H6:H60">
    <cfRule type="cellIs" priority="2" operator="equal" aboveAverage="0" equalAverage="0" bottom="0" percent="0" rank="0" text="" dxfId="3">
      <formula>"Complete"</formula>
    </cfRule>
    <cfRule type="cellIs" priority="3" operator="equal" aboveAverage="0" equalAverage="0" bottom="0" percent="0" rank="0" text="" dxfId="3">
      <formula>"Done"</formula>
    </cfRule>
    <cfRule type="cellIs" priority="4" operator="equal" aboveAverage="0" equalAverage="0" bottom="0" percent="0" rank="0" text="" dxfId="3">
      <formula>"Closed"</formula>
    </cfRule>
    <cfRule type="cellIs" priority="5" operator="equal" aboveAverage="0" equalAverage="0" bottom="0" percent="0" rank="0" text="" dxfId="3">
      <formula>"Answered"</formula>
    </cfRule>
    <cfRule type="cellIs" priority="6" operator="equal" aboveAverage="0" equalAverage="0" bottom="0" percent="0" rank="0" text="" dxfId="4">
      <formula>"Approved"</formula>
    </cfRule>
    <cfRule type="cellIs" priority="7" operator="equal" aboveAverage="0" equalAverage="0" bottom="0" percent="0" rank="0" text="" dxfId="4">
      <formula>"On Track"</formula>
    </cfRule>
    <cfRule type="cellIs" priority="8" operator="equal" aboveAverage="0" equalAverage="0" bottom="0" percent="0" rank="0" text="" dxfId="4">
      <formula>"Green"</formula>
    </cfRule>
    <cfRule type="cellIs" priority="9" operator="equal" aboveAverage="0" equalAverage="0" bottom="0" percent="0" rank="0" text="" dxfId="4">
      <formula>"GO"</formula>
    </cfRule>
    <cfRule type="cellIs" priority="10" operator="equal" aboveAverage="0" equalAverage="0" bottom="0" percent="0" rank="0" text="" dxfId="4">
      <formula>"Low"</formula>
    </cfRule>
    <cfRule type="cellIs" priority="11" operator="equal" aboveAverage="0" equalAverage="0" bottom="0" percent="0" rank="0" text="" dxfId="5">
      <formula>"At Risk"</formula>
    </cfRule>
    <cfRule type="cellIs" priority="12" operator="equal" aboveAverage="0" equalAverage="0" bottom="0" percent="0" rank="0" text="" dxfId="5">
      <formula>"Amber"</formula>
    </cfRule>
    <cfRule type="cellIs" priority="13" operator="equal" aboveAverage="0" equalAverage="0" bottom="0" percent="0" rank="0" text="" dxfId="5">
      <formula>"Medium"</formula>
    </cfRule>
    <cfRule type="cellIs" priority="14" operator="equal" aboveAverage="0" equalAverage="0" bottom="0" percent="0" rank="0" text="" dxfId="5">
      <formula>"Pending"</formula>
    </cfRule>
    <cfRule type="cellIs" priority="15" operator="equal" aboveAverage="0" equalAverage="0" bottom="0" percent="0" rank="0" text="" dxfId="5">
      <formula>"Open"</formula>
    </cfRule>
    <cfRule type="cellIs" priority="16" operator="equal" aboveAverage="0" equalAverage="0" bottom="0" percent="0" rank="0" text="" dxfId="6">
      <formula>"Late"</formula>
    </cfRule>
    <cfRule type="cellIs" priority="17" operator="equal" aboveAverage="0" equalAverage="0" bottom="0" percent="0" rank="0" text="" dxfId="6">
      <formula>"Red"</formula>
    </cfRule>
    <cfRule type="cellIs" priority="18" operator="equal" aboveAverage="0" equalAverage="0" bottom="0" percent="0" rank="0" text="" dxfId="6">
      <formula>"High"</formula>
    </cfRule>
    <cfRule type="cellIs" priority="19" operator="equal" aboveAverage="0" equalAverage="0" bottom="0" percent="0" rank="0" text="" dxfId="6">
      <formula>"Overdue"</formula>
    </cfRule>
    <cfRule type="cellIs" priority="20" operator="equal" aboveAverage="0" equalAverage="0" bottom="0" percent="0" rank="0" text="" dxfId="6">
      <formula>"OVERDUE"</formula>
    </cfRule>
    <cfRule type="cellIs" priority="21" operator="equal" aboveAverage="0" equalAverage="0" bottom="0" percent="0" rank="0" text="" dxfId="6">
      <formula>"NO-GO"</formula>
    </cfRule>
    <cfRule type="cellIs" priority="22" operator="equal" aboveAverage="0" equalAverage="0" bottom="0" percent="0" rank="0" text="" dxfId="6">
      <formula>"Blocked"</formula>
    </cfRule>
  </conditionalFormatting>
  <conditionalFormatting sqref="K6:K60">
    <cfRule type="cellIs" priority="23" operator="equal" aboveAverage="0" equalAverage="0" bottom="0" percent="0" rank="0" text="" dxfId="3">
      <formula>"Complete"</formula>
    </cfRule>
    <cfRule type="cellIs" priority="24" operator="equal" aboveAverage="0" equalAverage="0" bottom="0" percent="0" rank="0" text="" dxfId="3">
      <formula>"Done"</formula>
    </cfRule>
    <cfRule type="cellIs" priority="25" operator="equal" aboveAverage="0" equalAverage="0" bottom="0" percent="0" rank="0" text="" dxfId="3">
      <formula>"Closed"</formula>
    </cfRule>
    <cfRule type="cellIs" priority="26" operator="equal" aboveAverage="0" equalAverage="0" bottom="0" percent="0" rank="0" text="" dxfId="3">
      <formula>"Answered"</formula>
    </cfRule>
    <cfRule type="cellIs" priority="27" operator="equal" aboveAverage="0" equalAverage="0" bottom="0" percent="0" rank="0" text="" dxfId="4">
      <formula>"Approved"</formula>
    </cfRule>
    <cfRule type="cellIs" priority="28" operator="equal" aboveAverage="0" equalAverage="0" bottom="0" percent="0" rank="0" text="" dxfId="4">
      <formula>"On Track"</formula>
    </cfRule>
    <cfRule type="cellIs" priority="29" operator="equal" aboveAverage="0" equalAverage="0" bottom="0" percent="0" rank="0" text="" dxfId="4">
      <formula>"Green"</formula>
    </cfRule>
    <cfRule type="cellIs" priority="30" operator="equal" aboveAverage="0" equalAverage="0" bottom="0" percent="0" rank="0" text="" dxfId="4">
      <formula>"GO"</formula>
    </cfRule>
    <cfRule type="cellIs" priority="31" operator="equal" aboveAverage="0" equalAverage="0" bottom="0" percent="0" rank="0" text="" dxfId="4">
      <formula>"Low"</formula>
    </cfRule>
    <cfRule type="cellIs" priority="32" operator="equal" aboveAverage="0" equalAverage="0" bottom="0" percent="0" rank="0" text="" dxfId="5">
      <formula>"At Risk"</formula>
    </cfRule>
    <cfRule type="cellIs" priority="33" operator="equal" aboveAverage="0" equalAverage="0" bottom="0" percent="0" rank="0" text="" dxfId="5">
      <formula>"Amber"</formula>
    </cfRule>
    <cfRule type="cellIs" priority="34" operator="equal" aboveAverage="0" equalAverage="0" bottom="0" percent="0" rank="0" text="" dxfId="5">
      <formula>"Medium"</formula>
    </cfRule>
    <cfRule type="cellIs" priority="35" operator="equal" aboveAverage="0" equalAverage="0" bottom="0" percent="0" rank="0" text="" dxfId="5">
      <formula>"Pending"</formula>
    </cfRule>
    <cfRule type="cellIs" priority="36" operator="equal" aboveAverage="0" equalAverage="0" bottom="0" percent="0" rank="0" text="" dxfId="5">
      <formula>"Open"</formula>
    </cfRule>
    <cfRule type="cellIs" priority="37" operator="equal" aboveAverage="0" equalAverage="0" bottom="0" percent="0" rank="0" text="" dxfId="6">
      <formula>"Late"</formula>
    </cfRule>
    <cfRule type="cellIs" priority="38" operator="equal" aboveAverage="0" equalAverage="0" bottom="0" percent="0" rank="0" text="" dxfId="6">
      <formula>"Red"</formula>
    </cfRule>
    <cfRule type="cellIs" priority="39" operator="equal" aboveAverage="0" equalAverage="0" bottom="0" percent="0" rank="0" text="" dxfId="6">
      <formula>"High"</formula>
    </cfRule>
    <cfRule type="cellIs" priority="40" operator="equal" aboveAverage="0" equalAverage="0" bottom="0" percent="0" rank="0" text="" dxfId="6">
      <formula>"Overdue"</formula>
    </cfRule>
    <cfRule type="cellIs" priority="41" operator="equal" aboveAverage="0" equalAverage="0" bottom="0" percent="0" rank="0" text="" dxfId="6">
      <formula>"OVERDUE"</formula>
    </cfRule>
    <cfRule type="cellIs" priority="42" operator="equal" aboveAverage="0" equalAverage="0" bottom="0" percent="0" rank="0" text="" dxfId="6">
      <formula>"NO-GO"</formula>
    </cfRule>
    <cfRule type="cellIs" priority="43" operator="equal" aboveAverage="0" equalAverage="0" bottom="0" percent="0" rank="0" text="" dxfId="6">
      <formula>"Blocked"</formula>
    </cfRule>
  </conditionalFormatting>
  <dataValidations count="5">
    <dataValidation allowBlank="true" errorStyle="stop" operator="between" showDropDown="false" showErrorMessage="false" showInputMessage="false" sqref="D6:D60" type="list">
      <formula1>Lists!$J$5:$J$10</formula1>
      <formula2>0</formula2>
    </dataValidation>
    <dataValidation allowBlank="true" errorStyle="stop" operator="between" showDropDown="false" showErrorMessage="false" showInputMessage="false" sqref="E6:F60" type="list">
      <formula1>"1,2,3,4,5"</formula1>
      <formula2>0</formula2>
    </dataValidation>
    <dataValidation allowBlank="true" errorStyle="stop" operator="between" showDropDown="false" showErrorMessage="false" showInputMessage="false" sqref="B6:B60" type="list">
      <formula1>Lists!$C$5:$C$8</formula1>
      <formula2>0</formula2>
    </dataValidation>
    <dataValidation allowBlank="true" errorStyle="stop" operator="between" showDropDown="false" showErrorMessage="false" showInputMessage="false" sqref="K6:K60" type="list">
      <formula1>Lists!$D$5:$D$7</formula1>
      <formula2>0</formula2>
    </dataValidation>
    <dataValidation allowBlank="true" errorStyle="stop" operator="between" showDropDown="false" showErrorMessage="false" showInputMessage="false" sqref="I6:I60" type="list">
      <formula1>Lists!$B$5:$B$16</formula1>
      <formula2>0</formula2>
    </dataValidation>
  </dataValidations>
  <printOptions headings="false" gridLines="false" gridLinesSet="true" horizontalCentered="true" verticalCentered="false"/>
  <pageMargins left="0.4" right="0.4" top="0.5" bottom="0.5"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A7F8E"/>
    <pageSetUpPr fitToPage="true"/>
  </sheetPr>
  <dimension ref="A1:I6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11"/>
    <col collapsed="false" customWidth="true" hidden="false" outlineLevel="0" max="3" min="3" style="0" width="18"/>
    <col collapsed="false" customWidth="true" hidden="false" outlineLevel="0" max="4" min="4" style="0" width="46"/>
    <col collapsed="false" customWidth="true" hidden="false" outlineLevel="0" max="5" min="5" style="0" width="20"/>
    <col collapsed="false" customWidth="true" hidden="false" outlineLevel="0" max="7" min="6" style="0" width="9"/>
    <col collapsed="false" customWidth="true" hidden="false" outlineLevel="0" max="8" min="8" style="0" width="11"/>
    <col collapsed="false" customWidth="true" hidden="true" outlineLevel="0" max="9" min="9" style="0" width="8"/>
  </cols>
  <sheetData>
    <row r="1" customFormat="false" ht="19.7" hidden="false" customHeight="false" outlineLevel="0" collapsed="false">
      <c r="A1" s="9" t="s">
        <v>336</v>
      </c>
    </row>
    <row r="2" customFormat="false" ht="15" hidden="false" customHeight="false" outlineLevel="0" collapsed="false">
      <c r="A2" s="2" t="s">
        <v>337</v>
      </c>
    </row>
    <row r="3" customFormat="false" ht="15" hidden="false" customHeight="false" outlineLevel="0" collapsed="false">
      <c r="A3" s="36"/>
      <c r="B3" s="37" t="s">
        <v>113</v>
      </c>
    </row>
    <row r="5" customFormat="false" ht="30" hidden="false" customHeight="true" outlineLevel="0" collapsed="false">
      <c r="A5" s="28" t="s">
        <v>338</v>
      </c>
      <c r="B5" s="28" t="s">
        <v>290</v>
      </c>
      <c r="C5" s="28" t="s">
        <v>339</v>
      </c>
      <c r="D5" s="28" t="s">
        <v>340</v>
      </c>
      <c r="E5" s="28" t="s">
        <v>116</v>
      </c>
      <c r="F5" s="28" t="s">
        <v>94</v>
      </c>
      <c r="G5" s="28" t="s">
        <v>84</v>
      </c>
      <c r="H5" s="28" t="s">
        <v>341</v>
      </c>
      <c r="I5" s="28" t="s">
        <v>342</v>
      </c>
    </row>
    <row r="6" customFormat="false" ht="15" hidden="false" customHeight="false" outlineLevel="0" collapsed="false">
      <c r="A6" s="42" t="s">
        <v>343</v>
      </c>
      <c r="B6" s="44" t="n">
        <v>46300</v>
      </c>
      <c r="C6" s="42" t="s">
        <v>344</v>
      </c>
      <c r="D6" s="43" t="s">
        <v>345</v>
      </c>
      <c r="E6" s="42" t="s">
        <v>131</v>
      </c>
      <c r="F6" s="44" t="n">
        <v>46302</v>
      </c>
      <c r="G6" s="42" t="s">
        <v>346</v>
      </c>
      <c r="H6" s="23" t="str">
        <f aca="false">IF(OR(F6="",G6="Done"),"",IF(F6&lt;AsOf,"OVERDUE",IF(F6-AsOf&lt;=3,"Due soon","")))</f>
        <v/>
      </c>
      <c r="I6" s="48" t="str">
        <f aca="false">IF(H6="OVERDUE",ROW(),"")</f>
        <v/>
      </c>
    </row>
    <row r="7" customFormat="false" ht="15" hidden="false" customHeight="false" outlineLevel="0" collapsed="false">
      <c r="A7" s="42" t="s">
        <v>347</v>
      </c>
      <c r="B7" s="44" t="n">
        <v>46307</v>
      </c>
      <c r="C7" s="42" t="s">
        <v>344</v>
      </c>
      <c r="D7" s="43" t="s">
        <v>348</v>
      </c>
      <c r="E7" s="42" t="s">
        <v>172</v>
      </c>
      <c r="F7" s="44" t="n">
        <v>46309</v>
      </c>
      <c r="G7" s="42" t="s">
        <v>298</v>
      </c>
      <c r="H7" s="23" t="str">
        <f aca="false">IF(OR(F7="",G7="Done"),"",IF(F7&lt;AsOf,"OVERDUE",IF(F7-AsOf&lt;=3,"Due soon","")))</f>
        <v>OVERDUE</v>
      </c>
      <c r="I7" s="48" t="n">
        <f aca="false">IF(H7="OVERDUE",ROW(),"")</f>
        <v>7</v>
      </c>
    </row>
    <row r="8" customFormat="false" ht="15" hidden="false" customHeight="false" outlineLevel="0" collapsed="false">
      <c r="A8" s="42" t="s">
        <v>349</v>
      </c>
      <c r="B8" s="44" t="n">
        <v>46307</v>
      </c>
      <c r="C8" s="42" t="s">
        <v>344</v>
      </c>
      <c r="D8" s="43" t="s">
        <v>350</v>
      </c>
      <c r="E8" s="42" t="s">
        <v>131</v>
      </c>
      <c r="F8" s="44" t="n">
        <v>46314</v>
      </c>
      <c r="G8" s="42" t="s">
        <v>298</v>
      </c>
      <c r="H8" s="23" t="str">
        <f aca="false">IF(OR(F8="",G8="Done"),"",IF(F8&lt;AsOf,"OVERDUE",IF(F8-AsOf&lt;=3,"Due soon","")))</f>
        <v>Due soon</v>
      </c>
      <c r="I8" s="48" t="str">
        <f aca="false">IF(H8="OVERDUE",ROW(),"")</f>
        <v/>
      </c>
    </row>
    <row r="9" customFormat="false" ht="15" hidden="false" customHeight="false" outlineLevel="0" collapsed="false">
      <c r="A9" s="42" t="s">
        <v>351</v>
      </c>
      <c r="B9" s="44" t="n">
        <v>46310</v>
      </c>
      <c r="C9" s="42" t="s">
        <v>352</v>
      </c>
      <c r="D9" s="43" t="s">
        <v>353</v>
      </c>
      <c r="E9" s="42" t="s">
        <v>149</v>
      </c>
      <c r="F9" s="44" t="n">
        <v>46311</v>
      </c>
      <c r="G9" s="42" t="s">
        <v>346</v>
      </c>
      <c r="H9" s="23" t="str">
        <f aca="false">IF(OR(F9="",G9="Done"),"",IF(F9&lt;AsOf,"OVERDUE",IF(F9-AsOf&lt;=3,"Due soon","")))</f>
        <v/>
      </c>
      <c r="I9" s="48" t="str">
        <f aca="false">IF(H9="OVERDUE",ROW(),"")</f>
        <v/>
      </c>
    </row>
    <row r="10" customFormat="false" ht="15" hidden="false" customHeight="false" outlineLevel="0" collapsed="false">
      <c r="A10" s="42" t="s">
        <v>354</v>
      </c>
      <c r="B10" s="44" t="n">
        <v>46309</v>
      </c>
      <c r="C10" s="42" t="s">
        <v>355</v>
      </c>
      <c r="D10" s="43" t="s">
        <v>356</v>
      </c>
      <c r="E10" s="42" t="s">
        <v>146</v>
      </c>
      <c r="F10" s="44" t="n">
        <v>46318</v>
      </c>
      <c r="G10" s="42" t="s">
        <v>298</v>
      </c>
      <c r="H10" s="23" t="str">
        <f aca="false">IF(OR(F10="",G10="Done"),"",IF(F10&lt;AsOf,"OVERDUE",IF(F10-AsOf&lt;=3,"Due soon","")))</f>
        <v/>
      </c>
      <c r="I10" s="48" t="str">
        <f aca="false">IF(H10="OVERDUE",ROW(),"")</f>
        <v/>
      </c>
    </row>
    <row r="11" customFormat="false" ht="15" hidden="false" customHeight="false" outlineLevel="0" collapsed="false">
      <c r="A11" s="42" t="s">
        <v>357</v>
      </c>
      <c r="B11" s="44" t="n">
        <v>46309</v>
      </c>
      <c r="C11" s="42" t="s">
        <v>358</v>
      </c>
      <c r="D11" s="43" t="s">
        <v>359</v>
      </c>
      <c r="E11" s="42" t="s">
        <v>131</v>
      </c>
      <c r="F11" s="44" t="n">
        <v>46310</v>
      </c>
      <c r="G11" s="42" t="s">
        <v>298</v>
      </c>
      <c r="H11" s="23" t="str">
        <f aca="false">IF(OR(F11="",G11="Done"),"",IF(F11&lt;AsOf,"OVERDUE",IF(F11-AsOf&lt;=3,"Due soon","")))</f>
        <v>OVERDUE</v>
      </c>
      <c r="I11" s="48" t="n">
        <f aca="false">IF(H11="OVERDUE",ROW(),"")</f>
        <v>11</v>
      </c>
    </row>
    <row r="12" customFormat="false" ht="15" hidden="false" customHeight="false" outlineLevel="0" collapsed="false">
      <c r="B12" s="51"/>
      <c r="F12" s="51"/>
      <c r="H12" s="0" t="str">
        <f aca="false">IF(OR(F12="",G12="Done"),"",IF(F12&lt;AsOf,"OVERDUE",IF(F12-AsOf&lt;=3,"Due soon","")))</f>
        <v/>
      </c>
      <c r="I12" s="54" t="str">
        <f aca="false">IF(H12="OVERDUE",ROW(),"")</f>
        <v/>
      </c>
    </row>
    <row r="13" customFormat="false" ht="15" hidden="false" customHeight="false" outlineLevel="0" collapsed="false">
      <c r="B13" s="51"/>
      <c r="F13" s="51"/>
      <c r="H13" s="0" t="str">
        <f aca="false">IF(OR(F13="",G13="Done"),"",IF(F13&lt;AsOf,"OVERDUE",IF(F13-AsOf&lt;=3,"Due soon","")))</f>
        <v/>
      </c>
      <c r="I13" s="54" t="str">
        <f aca="false">IF(H13="OVERDUE",ROW(),"")</f>
        <v/>
      </c>
    </row>
    <row r="14" customFormat="false" ht="15" hidden="false" customHeight="false" outlineLevel="0" collapsed="false">
      <c r="B14" s="51"/>
      <c r="F14" s="51"/>
      <c r="H14" s="0" t="str">
        <f aca="false">IF(OR(F14="",G14="Done"),"",IF(F14&lt;AsOf,"OVERDUE",IF(F14-AsOf&lt;=3,"Due soon","")))</f>
        <v/>
      </c>
      <c r="I14" s="54" t="str">
        <f aca="false">IF(H14="OVERDUE",ROW(),"")</f>
        <v/>
      </c>
    </row>
    <row r="15" customFormat="false" ht="15" hidden="false" customHeight="false" outlineLevel="0" collapsed="false">
      <c r="B15" s="51"/>
      <c r="F15" s="51"/>
      <c r="H15" s="0" t="str">
        <f aca="false">IF(OR(F15="",G15="Done"),"",IF(F15&lt;AsOf,"OVERDUE",IF(F15-AsOf&lt;=3,"Due soon","")))</f>
        <v/>
      </c>
      <c r="I15" s="54" t="str">
        <f aca="false">IF(H15="OVERDUE",ROW(),"")</f>
        <v/>
      </c>
    </row>
    <row r="16" customFormat="false" ht="15" hidden="false" customHeight="false" outlineLevel="0" collapsed="false">
      <c r="B16" s="51"/>
      <c r="F16" s="51"/>
      <c r="H16" s="0" t="str">
        <f aca="false">IF(OR(F16="",G16="Done"),"",IF(F16&lt;AsOf,"OVERDUE",IF(F16-AsOf&lt;=3,"Due soon","")))</f>
        <v/>
      </c>
      <c r="I16" s="54" t="str">
        <f aca="false">IF(H16="OVERDUE",ROW(),"")</f>
        <v/>
      </c>
    </row>
    <row r="17" customFormat="false" ht="15" hidden="false" customHeight="false" outlineLevel="0" collapsed="false">
      <c r="B17" s="51"/>
      <c r="F17" s="51"/>
      <c r="H17" s="0" t="str">
        <f aca="false">IF(OR(F17="",G17="Done"),"",IF(F17&lt;AsOf,"OVERDUE",IF(F17-AsOf&lt;=3,"Due soon","")))</f>
        <v/>
      </c>
      <c r="I17" s="54" t="str">
        <f aca="false">IF(H17="OVERDUE",ROW(),"")</f>
        <v/>
      </c>
    </row>
    <row r="18" customFormat="false" ht="15" hidden="false" customHeight="false" outlineLevel="0" collapsed="false">
      <c r="B18" s="51"/>
      <c r="F18" s="51"/>
      <c r="H18" s="0" t="str">
        <f aca="false">IF(OR(F18="",G18="Done"),"",IF(F18&lt;AsOf,"OVERDUE",IF(F18-AsOf&lt;=3,"Due soon","")))</f>
        <v/>
      </c>
      <c r="I18" s="54" t="str">
        <f aca="false">IF(H18="OVERDUE",ROW(),"")</f>
        <v/>
      </c>
    </row>
    <row r="19" customFormat="false" ht="15" hidden="false" customHeight="false" outlineLevel="0" collapsed="false">
      <c r="B19" s="51"/>
      <c r="F19" s="51"/>
      <c r="H19" s="0" t="str">
        <f aca="false">IF(OR(F19="",G19="Done"),"",IF(F19&lt;AsOf,"OVERDUE",IF(F19-AsOf&lt;=3,"Due soon","")))</f>
        <v/>
      </c>
      <c r="I19" s="54" t="str">
        <f aca="false">IF(H19="OVERDUE",ROW(),"")</f>
        <v/>
      </c>
    </row>
    <row r="20" customFormat="false" ht="15" hidden="false" customHeight="false" outlineLevel="0" collapsed="false">
      <c r="B20" s="51"/>
      <c r="F20" s="51"/>
      <c r="H20" s="0" t="str">
        <f aca="false">IF(OR(F20="",G20="Done"),"",IF(F20&lt;AsOf,"OVERDUE",IF(F20-AsOf&lt;=3,"Due soon","")))</f>
        <v/>
      </c>
      <c r="I20" s="54" t="str">
        <f aca="false">IF(H20="OVERDUE",ROW(),"")</f>
        <v/>
      </c>
    </row>
    <row r="21" customFormat="false" ht="15" hidden="false" customHeight="false" outlineLevel="0" collapsed="false">
      <c r="B21" s="51"/>
      <c r="F21" s="51"/>
      <c r="H21" s="0" t="str">
        <f aca="false">IF(OR(F21="",G21="Done"),"",IF(F21&lt;AsOf,"OVERDUE",IF(F21-AsOf&lt;=3,"Due soon","")))</f>
        <v/>
      </c>
      <c r="I21" s="54" t="str">
        <f aca="false">IF(H21="OVERDUE",ROW(),"")</f>
        <v/>
      </c>
    </row>
    <row r="22" customFormat="false" ht="15" hidden="false" customHeight="false" outlineLevel="0" collapsed="false">
      <c r="B22" s="51"/>
      <c r="F22" s="51"/>
      <c r="H22" s="0" t="str">
        <f aca="false">IF(OR(F22="",G22="Done"),"",IF(F22&lt;AsOf,"OVERDUE",IF(F22-AsOf&lt;=3,"Due soon","")))</f>
        <v/>
      </c>
      <c r="I22" s="54" t="str">
        <f aca="false">IF(H22="OVERDUE",ROW(),"")</f>
        <v/>
      </c>
    </row>
    <row r="23" customFormat="false" ht="15" hidden="false" customHeight="false" outlineLevel="0" collapsed="false">
      <c r="B23" s="51"/>
      <c r="F23" s="51"/>
      <c r="H23" s="0" t="str">
        <f aca="false">IF(OR(F23="",G23="Done"),"",IF(F23&lt;AsOf,"OVERDUE",IF(F23-AsOf&lt;=3,"Due soon","")))</f>
        <v/>
      </c>
      <c r="I23" s="54" t="str">
        <f aca="false">IF(H23="OVERDUE",ROW(),"")</f>
        <v/>
      </c>
    </row>
    <row r="24" customFormat="false" ht="15" hidden="false" customHeight="false" outlineLevel="0" collapsed="false">
      <c r="B24" s="51"/>
      <c r="F24" s="51"/>
      <c r="H24" s="0" t="str">
        <f aca="false">IF(OR(F24="",G24="Done"),"",IF(F24&lt;AsOf,"OVERDUE",IF(F24-AsOf&lt;=3,"Due soon","")))</f>
        <v/>
      </c>
      <c r="I24" s="54" t="str">
        <f aca="false">IF(H24="OVERDUE",ROW(),"")</f>
        <v/>
      </c>
    </row>
    <row r="25" customFormat="false" ht="15" hidden="false" customHeight="false" outlineLevel="0" collapsed="false">
      <c r="B25" s="51"/>
      <c r="F25" s="51"/>
      <c r="H25" s="0" t="str">
        <f aca="false">IF(OR(F25="",G25="Done"),"",IF(F25&lt;AsOf,"OVERDUE",IF(F25-AsOf&lt;=3,"Due soon","")))</f>
        <v/>
      </c>
      <c r="I25" s="54" t="str">
        <f aca="false">IF(H25="OVERDUE",ROW(),"")</f>
        <v/>
      </c>
    </row>
    <row r="26" customFormat="false" ht="15" hidden="false" customHeight="false" outlineLevel="0" collapsed="false">
      <c r="B26" s="51"/>
      <c r="F26" s="51"/>
      <c r="H26" s="0" t="str">
        <f aca="false">IF(OR(F26="",G26="Done"),"",IF(F26&lt;AsOf,"OVERDUE",IF(F26-AsOf&lt;=3,"Due soon","")))</f>
        <v/>
      </c>
      <c r="I26" s="54" t="str">
        <f aca="false">IF(H26="OVERDUE",ROW(),"")</f>
        <v/>
      </c>
    </row>
    <row r="27" customFormat="false" ht="15" hidden="false" customHeight="false" outlineLevel="0" collapsed="false">
      <c r="B27" s="51"/>
      <c r="F27" s="51"/>
      <c r="H27" s="0" t="str">
        <f aca="false">IF(OR(F27="",G27="Done"),"",IF(F27&lt;AsOf,"OVERDUE",IF(F27-AsOf&lt;=3,"Due soon","")))</f>
        <v/>
      </c>
      <c r="I27" s="54" t="str">
        <f aca="false">IF(H27="OVERDUE",ROW(),"")</f>
        <v/>
      </c>
    </row>
    <row r="28" customFormat="false" ht="15" hidden="false" customHeight="false" outlineLevel="0" collapsed="false">
      <c r="B28" s="51"/>
      <c r="F28" s="51"/>
      <c r="H28" s="0" t="str">
        <f aca="false">IF(OR(F28="",G28="Done"),"",IF(F28&lt;AsOf,"OVERDUE",IF(F28-AsOf&lt;=3,"Due soon","")))</f>
        <v/>
      </c>
      <c r="I28" s="54" t="str">
        <f aca="false">IF(H28="OVERDUE",ROW(),"")</f>
        <v/>
      </c>
    </row>
    <row r="29" customFormat="false" ht="15" hidden="false" customHeight="false" outlineLevel="0" collapsed="false">
      <c r="B29" s="51"/>
      <c r="F29" s="51"/>
      <c r="H29" s="0" t="str">
        <f aca="false">IF(OR(F29="",G29="Done"),"",IF(F29&lt;AsOf,"OVERDUE",IF(F29-AsOf&lt;=3,"Due soon","")))</f>
        <v/>
      </c>
      <c r="I29" s="54" t="str">
        <f aca="false">IF(H29="OVERDUE",ROW(),"")</f>
        <v/>
      </c>
    </row>
    <row r="30" customFormat="false" ht="15" hidden="false" customHeight="false" outlineLevel="0" collapsed="false">
      <c r="B30" s="51"/>
      <c r="F30" s="51"/>
      <c r="H30" s="0" t="str">
        <f aca="false">IF(OR(F30="",G30="Done"),"",IF(F30&lt;AsOf,"OVERDUE",IF(F30-AsOf&lt;=3,"Due soon","")))</f>
        <v/>
      </c>
      <c r="I30" s="54" t="str">
        <f aca="false">IF(H30="OVERDUE",ROW(),"")</f>
        <v/>
      </c>
    </row>
    <row r="31" customFormat="false" ht="15" hidden="false" customHeight="false" outlineLevel="0" collapsed="false">
      <c r="B31" s="51"/>
      <c r="F31" s="51"/>
      <c r="H31" s="0" t="str">
        <f aca="false">IF(OR(F31="",G31="Done"),"",IF(F31&lt;AsOf,"OVERDUE",IF(F31-AsOf&lt;=3,"Due soon","")))</f>
        <v/>
      </c>
      <c r="I31" s="54" t="str">
        <f aca="false">IF(H31="OVERDUE",ROW(),"")</f>
        <v/>
      </c>
    </row>
    <row r="32" customFormat="false" ht="15" hidden="false" customHeight="false" outlineLevel="0" collapsed="false">
      <c r="B32" s="51"/>
      <c r="F32" s="51"/>
      <c r="H32" s="0" t="str">
        <f aca="false">IF(OR(F32="",G32="Done"),"",IF(F32&lt;AsOf,"OVERDUE",IF(F32-AsOf&lt;=3,"Due soon","")))</f>
        <v/>
      </c>
      <c r="I32" s="54" t="str">
        <f aca="false">IF(H32="OVERDUE",ROW(),"")</f>
        <v/>
      </c>
    </row>
    <row r="33" customFormat="false" ht="15" hidden="false" customHeight="false" outlineLevel="0" collapsed="false">
      <c r="B33" s="51"/>
      <c r="F33" s="51"/>
      <c r="H33" s="0" t="str">
        <f aca="false">IF(OR(F33="",G33="Done"),"",IF(F33&lt;AsOf,"OVERDUE",IF(F33-AsOf&lt;=3,"Due soon","")))</f>
        <v/>
      </c>
      <c r="I33" s="54" t="str">
        <f aca="false">IF(H33="OVERDUE",ROW(),"")</f>
        <v/>
      </c>
    </row>
    <row r="34" customFormat="false" ht="15" hidden="false" customHeight="false" outlineLevel="0" collapsed="false">
      <c r="B34" s="51"/>
      <c r="F34" s="51"/>
      <c r="H34" s="0" t="str">
        <f aca="false">IF(OR(F34="",G34="Done"),"",IF(F34&lt;AsOf,"OVERDUE",IF(F34-AsOf&lt;=3,"Due soon","")))</f>
        <v/>
      </c>
      <c r="I34" s="54" t="str">
        <f aca="false">IF(H34="OVERDUE",ROW(),"")</f>
        <v/>
      </c>
    </row>
    <row r="35" customFormat="false" ht="15" hidden="false" customHeight="false" outlineLevel="0" collapsed="false">
      <c r="B35" s="51"/>
      <c r="F35" s="51"/>
      <c r="H35" s="0" t="str">
        <f aca="false">IF(OR(F35="",G35="Done"),"",IF(F35&lt;AsOf,"OVERDUE",IF(F35-AsOf&lt;=3,"Due soon","")))</f>
        <v/>
      </c>
      <c r="I35" s="54" t="str">
        <f aca="false">IF(H35="OVERDUE",ROW(),"")</f>
        <v/>
      </c>
    </row>
    <row r="36" customFormat="false" ht="15" hidden="false" customHeight="false" outlineLevel="0" collapsed="false">
      <c r="B36" s="51"/>
      <c r="F36" s="51"/>
      <c r="H36" s="0" t="str">
        <f aca="false">IF(OR(F36="",G36="Done"),"",IF(F36&lt;AsOf,"OVERDUE",IF(F36-AsOf&lt;=3,"Due soon","")))</f>
        <v/>
      </c>
      <c r="I36" s="54" t="str">
        <f aca="false">IF(H36="OVERDUE",ROW(),"")</f>
        <v/>
      </c>
    </row>
    <row r="37" customFormat="false" ht="15" hidden="false" customHeight="false" outlineLevel="0" collapsed="false">
      <c r="B37" s="51"/>
      <c r="F37" s="51"/>
      <c r="H37" s="0" t="str">
        <f aca="false">IF(OR(F37="",G37="Done"),"",IF(F37&lt;AsOf,"OVERDUE",IF(F37-AsOf&lt;=3,"Due soon","")))</f>
        <v/>
      </c>
      <c r="I37" s="54" t="str">
        <f aca="false">IF(H37="OVERDUE",ROW(),"")</f>
        <v/>
      </c>
    </row>
    <row r="38" customFormat="false" ht="15" hidden="false" customHeight="false" outlineLevel="0" collapsed="false">
      <c r="B38" s="51"/>
      <c r="F38" s="51"/>
      <c r="H38" s="0" t="str">
        <f aca="false">IF(OR(F38="",G38="Done"),"",IF(F38&lt;AsOf,"OVERDUE",IF(F38-AsOf&lt;=3,"Due soon","")))</f>
        <v/>
      </c>
      <c r="I38" s="54" t="str">
        <f aca="false">IF(H38="OVERDUE",ROW(),"")</f>
        <v/>
      </c>
    </row>
    <row r="39" customFormat="false" ht="15" hidden="false" customHeight="false" outlineLevel="0" collapsed="false">
      <c r="B39" s="51"/>
      <c r="F39" s="51"/>
      <c r="H39" s="0" t="str">
        <f aca="false">IF(OR(F39="",G39="Done"),"",IF(F39&lt;AsOf,"OVERDUE",IF(F39-AsOf&lt;=3,"Due soon","")))</f>
        <v/>
      </c>
      <c r="I39" s="54" t="str">
        <f aca="false">IF(H39="OVERDUE",ROW(),"")</f>
        <v/>
      </c>
    </row>
    <row r="40" customFormat="false" ht="15" hidden="false" customHeight="false" outlineLevel="0" collapsed="false">
      <c r="B40" s="51"/>
      <c r="F40" s="51"/>
      <c r="H40" s="0" t="str">
        <f aca="false">IF(OR(F40="",G40="Done"),"",IF(F40&lt;AsOf,"OVERDUE",IF(F40-AsOf&lt;=3,"Due soon","")))</f>
        <v/>
      </c>
      <c r="I40" s="54" t="str">
        <f aca="false">IF(H40="OVERDUE",ROW(),"")</f>
        <v/>
      </c>
    </row>
    <row r="41" customFormat="false" ht="15" hidden="false" customHeight="false" outlineLevel="0" collapsed="false">
      <c r="B41" s="51"/>
      <c r="F41" s="51"/>
      <c r="H41" s="0" t="str">
        <f aca="false">IF(OR(F41="",G41="Done"),"",IF(F41&lt;AsOf,"OVERDUE",IF(F41-AsOf&lt;=3,"Due soon","")))</f>
        <v/>
      </c>
      <c r="I41" s="54" t="str">
        <f aca="false">IF(H41="OVERDUE",ROW(),"")</f>
        <v/>
      </c>
    </row>
    <row r="42" customFormat="false" ht="15" hidden="false" customHeight="false" outlineLevel="0" collapsed="false">
      <c r="B42" s="51"/>
      <c r="F42" s="51"/>
      <c r="H42" s="0" t="str">
        <f aca="false">IF(OR(F42="",G42="Done"),"",IF(F42&lt;AsOf,"OVERDUE",IF(F42-AsOf&lt;=3,"Due soon","")))</f>
        <v/>
      </c>
      <c r="I42" s="54" t="str">
        <f aca="false">IF(H42="OVERDUE",ROW(),"")</f>
        <v/>
      </c>
    </row>
    <row r="43" customFormat="false" ht="15" hidden="false" customHeight="false" outlineLevel="0" collapsed="false">
      <c r="B43" s="51"/>
      <c r="F43" s="51"/>
      <c r="H43" s="0" t="str">
        <f aca="false">IF(OR(F43="",G43="Done"),"",IF(F43&lt;AsOf,"OVERDUE",IF(F43-AsOf&lt;=3,"Due soon","")))</f>
        <v/>
      </c>
      <c r="I43" s="54" t="str">
        <f aca="false">IF(H43="OVERDUE",ROW(),"")</f>
        <v/>
      </c>
    </row>
    <row r="44" customFormat="false" ht="15" hidden="false" customHeight="false" outlineLevel="0" collapsed="false">
      <c r="B44" s="51"/>
      <c r="F44" s="51"/>
      <c r="H44" s="0" t="str">
        <f aca="false">IF(OR(F44="",G44="Done"),"",IF(F44&lt;AsOf,"OVERDUE",IF(F44-AsOf&lt;=3,"Due soon","")))</f>
        <v/>
      </c>
      <c r="I44" s="54" t="str">
        <f aca="false">IF(H44="OVERDUE",ROW(),"")</f>
        <v/>
      </c>
    </row>
    <row r="45" customFormat="false" ht="15" hidden="false" customHeight="false" outlineLevel="0" collapsed="false">
      <c r="B45" s="51"/>
      <c r="F45" s="51"/>
      <c r="H45" s="0" t="str">
        <f aca="false">IF(OR(F45="",G45="Done"),"",IF(F45&lt;AsOf,"OVERDUE",IF(F45-AsOf&lt;=3,"Due soon","")))</f>
        <v/>
      </c>
      <c r="I45" s="54" t="str">
        <f aca="false">IF(H45="OVERDUE",ROW(),"")</f>
        <v/>
      </c>
    </row>
    <row r="46" customFormat="false" ht="15" hidden="false" customHeight="false" outlineLevel="0" collapsed="false">
      <c r="B46" s="51"/>
      <c r="F46" s="51"/>
      <c r="H46" s="0" t="str">
        <f aca="false">IF(OR(F46="",G46="Done"),"",IF(F46&lt;AsOf,"OVERDUE",IF(F46-AsOf&lt;=3,"Due soon","")))</f>
        <v/>
      </c>
      <c r="I46" s="54" t="str">
        <f aca="false">IF(H46="OVERDUE",ROW(),"")</f>
        <v/>
      </c>
    </row>
    <row r="47" customFormat="false" ht="15" hidden="false" customHeight="false" outlineLevel="0" collapsed="false">
      <c r="B47" s="51"/>
      <c r="F47" s="51"/>
      <c r="H47" s="0" t="str">
        <f aca="false">IF(OR(F47="",G47="Done"),"",IF(F47&lt;AsOf,"OVERDUE",IF(F47-AsOf&lt;=3,"Due soon","")))</f>
        <v/>
      </c>
      <c r="I47" s="54" t="str">
        <f aca="false">IF(H47="OVERDUE",ROW(),"")</f>
        <v/>
      </c>
    </row>
    <row r="48" customFormat="false" ht="15" hidden="false" customHeight="false" outlineLevel="0" collapsed="false">
      <c r="B48" s="51"/>
      <c r="F48" s="51"/>
      <c r="H48" s="0" t="str">
        <f aca="false">IF(OR(F48="",G48="Done"),"",IF(F48&lt;AsOf,"OVERDUE",IF(F48-AsOf&lt;=3,"Due soon","")))</f>
        <v/>
      </c>
      <c r="I48" s="54" t="str">
        <f aca="false">IF(H48="OVERDUE",ROW(),"")</f>
        <v/>
      </c>
    </row>
    <row r="49" customFormat="false" ht="15" hidden="false" customHeight="false" outlineLevel="0" collapsed="false">
      <c r="B49" s="51"/>
      <c r="F49" s="51"/>
      <c r="H49" s="0" t="str">
        <f aca="false">IF(OR(F49="",G49="Done"),"",IF(F49&lt;AsOf,"OVERDUE",IF(F49-AsOf&lt;=3,"Due soon","")))</f>
        <v/>
      </c>
      <c r="I49" s="54" t="str">
        <f aca="false">IF(H49="OVERDUE",ROW(),"")</f>
        <v/>
      </c>
    </row>
    <row r="50" customFormat="false" ht="15" hidden="false" customHeight="false" outlineLevel="0" collapsed="false">
      <c r="B50" s="51"/>
      <c r="F50" s="51"/>
      <c r="H50" s="0" t="str">
        <f aca="false">IF(OR(F50="",G50="Done"),"",IF(F50&lt;AsOf,"OVERDUE",IF(F50-AsOf&lt;=3,"Due soon","")))</f>
        <v/>
      </c>
      <c r="I50" s="54" t="str">
        <f aca="false">IF(H50="OVERDUE",ROW(),"")</f>
        <v/>
      </c>
    </row>
    <row r="51" customFormat="false" ht="15" hidden="false" customHeight="false" outlineLevel="0" collapsed="false">
      <c r="B51" s="51"/>
      <c r="F51" s="51"/>
      <c r="H51" s="0" t="str">
        <f aca="false">IF(OR(F51="",G51="Done"),"",IF(F51&lt;AsOf,"OVERDUE",IF(F51-AsOf&lt;=3,"Due soon","")))</f>
        <v/>
      </c>
      <c r="I51" s="54" t="str">
        <f aca="false">IF(H51="OVERDUE",ROW(),"")</f>
        <v/>
      </c>
    </row>
    <row r="52" customFormat="false" ht="15" hidden="false" customHeight="false" outlineLevel="0" collapsed="false">
      <c r="B52" s="51"/>
      <c r="F52" s="51"/>
      <c r="H52" s="0" t="str">
        <f aca="false">IF(OR(F52="",G52="Done"),"",IF(F52&lt;AsOf,"OVERDUE",IF(F52-AsOf&lt;=3,"Due soon","")))</f>
        <v/>
      </c>
      <c r="I52" s="54" t="str">
        <f aca="false">IF(H52="OVERDUE",ROW(),"")</f>
        <v/>
      </c>
    </row>
    <row r="53" customFormat="false" ht="15" hidden="false" customHeight="false" outlineLevel="0" collapsed="false">
      <c r="B53" s="51"/>
      <c r="F53" s="51"/>
      <c r="H53" s="0" t="str">
        <f aca="false">IF(OR(F53="",G53="Done"),"",IF(F53&lt;AsOf,"OVERDUE",IF(F53-AsOf&lt;=3,"Due soon","")))</f>
        <v/>
      </c>
      <c r="I53" s="54" t="str">
        <f aca="false">IF(H53="OVERDUE",ROW(),"")</f>
        <v/>
      </c>
    </row>
    <row r="54" customFormat="false" ht="15" hidden="false" customHeight="false" outlineLevel="0" collapsed="false">
      <c r="B54" s="51"/>
      <c r="F54" s="51"/>
      <c r="H54" s="0" t="str">
        <f aca="false">IF(OR(F54="",G54="Done"),"",IF(F54&lt;AsOf,"OVERDUE",IF(F54-AsOf&lt;=3,"Due soon","")))</f>
        <v/>
      </c>
      <c r="I54" s="54" t="str">
        <f aca="false">IF(H54="OVERDUE",ROW(),"")</f>
        <v/>
      </c>
    </row>
    <row r="55" customFormat="false" ht="15" hidden="false" customHeight="false" outlineLevel="0" collapsed="false">
      <c r="B55" s="51"/>
      <c r="F55" s="51"/>
      <c r="H55" s="0" t="str">
        <f aca="false">IF(OR(F55="",G55="Done"),"",IF(F55&lt;AsOf,"OVERDUE",IF(F55-AsOf&lt;=3,"Due soon","")))</f>
        <v/>
      </c>
      <c r="I55" s="54" t="str">
        <f aca="false">IF(H55="OVERDUE",ROW(),"")</f>
        <v/>
      </c>
    </row>
    <row r="56" customFormat="false" ht="15" hidden="false" customHeight="false" outlineLevel="0" collapsed="false">
      <c r="B56" s="51"/>
      <c r="F56" s="51"/>
      <c r="H56" s="0" t="str">
        <f aca="false">IF(OR(F56="",G56="Done"),"",IF(F56&lt;AsOf,"OVERDUE",IF(F56-AsOf&lt;=3,"Due soon","")))</f>
        <v/>
      </c>
      <c r="I56" s="54" t="str">
        <f aca="false">IF(H56="OVERDUE",ROW(),"")</f>
        <v/>
      </c>
    </row>
    <row r="57" customFormat="false" ht="15" hidden="false" customHeight="false" outlineLevel="0" collapsed="false">
      <c r="B57" s="51"/>
      <c r="F57" s="51"/>
      <c r="H57" s="0" t="str">
        <f aca="false">IF(OR(F57="",G57="Done"),"",IF(F57&lt;AsOf,"OVERDUE",IF(F57-AsOf&lt;=3,"Due soon","")))</f>
        <v/>
      </c>
      <c r="I57" s="54" t="str">
        <f aca="false">IF(H57="OVERDUE",ROW(),"")</f>
        <v/>
      </c>
    </row>
    <row r="58" customFormat="false" ht="15" hidden="false" customHeight="false" outlineLevel="0" collapsed="false">
      <c r="B58" s="51"/>
      <c r="F58" s="51"/>
      <c r="H58" s="0" t="str">
        <f aca="false">IF(OR(F58="",G58="Done"),"",IF(F58&lt;AsOf,"OVERDUE",IF(F58-AsOf&lt;=3,"Due soon","")))</f>
        <v/>
      </c>
      <c r="I58" s="54" t="str">
        <f aca="false">IF(H58="OVERDUE",ROW(),"")</f>
        <v/>
      </c>
    </row>
    <row r="59" customFormat="false" ht="15" hidden="false" customHeight="false" outlineLevel="0" collapsed="false">
      <c r="B59" s="51"/>
      <c r="F59" s="51"/>
      <c r="H59" s="0" t="str">
        <f aca="false">IF(OR(F59="",G59="Done"),"",IF(F59&lt;AsOf,"OVERDUE",IF(F59-AsOf&lt;=3,"Due soon","")))</f>
        <v/>
      </c>
      <c r="I59" s="54" t="str">
        <f aca="false">IF(H59="OVERDUE",ROW(),"")</f>
        <v/>
      </c>
    </row>
    <row r="60" customFormat="false" ht="15" hidden="false" customHeight="false" outlineLevel="0" collapsed="false">
      <c r="B60" s="51"/>
      <c r="F60" s="51"/>
      <c r="H60" s="0" t="str">
        <f aca="false">IF(OR(F60="",G60="Done"),"",IF(F60&lt;AsOf,"OVERDUE",IF(F60-AsOf&lt;=3,"Due soon","")))</f>
        <v/>
      </c>
      <c r="I60" s="54" t="str">
        <f aca="false">IF(H60="OVERDUE",ROW(),"")</f>
        <v/>
      </c>
    </row>
  </sheetData>
  <conditionalFormatting sqref="G6:G60">
    <cfRule type="cellIs" priority="2" operator="equal" aboveAverage="0" equalAverage="0" bottom="0" percent="0" rank="0" text="" dxfId="3">
      <formula>"Complete"</formula>
    </cfRule>
    <cfRule type="cellIs" priority="3" operator="equal" aboveAverage="0" equalAverage="0" bottom="0" percent="0" rank="0" text="" dxfId="3">
      <formula>"Done"</formula>
    </cfRule>
    <cfRule type="cellIs" priority="4" operator="equal" aboveAverage="0" equalAverage="0" bottom="0" percent="0" rank="0" text="" dxfId="3">
      <formula>"Closed"</formula>
    </cfRule>
    <cfRule type="cellIs" priority="5" operator="equal" aboveAverage="0" equalAverage="0" bottom="0" percent="0" rank="0" text="" dxfId="3">
      <formula>"Answered"</formula>
    </cfRule>
    <cfRule type="cellIs" priority="6" operator="equal" aboveAverage="0" equalAverage="0" bottom="0" percent="0" rank="0" text="" dxfId="4">
      <formula>"Approved"</formula>
    </cfRule>
    <cfRule type="cellIs" priority="7" operator="equal" aboveAverage="0" equalAverage="0" bottom="0" percent="0" rank="0" text="" dxfId="4">
      <formula>"On Track"</formula>
    </cfRule>
    <cfRule type="cellIs" priority="8" operator="equal" aboveAverage="0" equalAverage="0" bottom="0" percent="0" rank="0" text="" dxfId="4">
      <formula>"Green"</formula>
    </cfRule>
    <cfRule type="cellIs" priority="9" operator="equal" aboveAverage="0" equalAverage="0" bottom="0" percent="0" rank="0" text="" dxfId="4">
      <formula>"GO"</formula>
    </cfRule>
    <cfRule type="cellIs" priority="10" operator="equal" aboveAverage="0" equalAverage="0" bottom="0" percent="0" rank="0" text="" dxfId="4">
      <formula>"Low"</formula>
    </cfRule>
    <cfRule type="cellIs" priority="11" operator="equal" aboveAverage="0" equalAverage="0" bottom="0" percent="0" rank="0" text="" dxfId="5">
      <formula>"At Risk"</formula>
    </cfRule>
    <cfRule type="cellIs" priority="12" operator="equal" aboveAverage="0" equalAverage="0" bottom="0" percent="0" rank="0" text="" dxfId="5">
      <formula>"Amber"</formula>
    </cfRule>
    <cfRule type="cellIs" priority="13" operator="equal" aboveAverage="0" equalAverage="0" bottom="0" percent="0" rank="0" text="" dxfId="5">
      <formula>"Medium"</formula>
    </cfRule>
    <cfRule type="cellIs" priority="14" operator="equal" aboveAverage="0" equalAverage="0" bottom="0" percent="0" rank="0" text="" dxfId="5">
      <formula>"Pending"</formula>
    </cfRule>
    <cfRule type="cellIs" priority="15" operator="equal" aboveAverage="0" equalAverage="0" bottom="0" percent="0" rank="0" text="" dxfId="5">
      <formula>"Open"</formula>
    </cfRule>
    <cfRule type="cellIs" priority="16" operator="equal" aboveAverage="0" equalAverage="0" bottom="0" percent="0" rank="0" text="" dxfId="6">
      <formula>"Late"</formula>
    </cfRule>
    <cfRule type="cellIs" priority="17" operator="equal" aboveAverage="0" equalAverage="0" bottom="0" percent="0" rank="0" text="" dxfId="6">
      <formula>"Red"</formula>
    </cfRule>
    <cfRule type="cellIs" priority="18" operator="equal" aboveAverage="0" equalAverage="0" bottom="0" percent="0" rank="0" text="" dxfId="6">
      <formula>"High"</formula>
    </cfRule>
    <cfRule type="cellIs" priority="19" operator="equal" aboveAverage="0" equalAverage="0" bottom="0" percent="0" rank="0" text="" dxfId="6">
      <formula>"Overdue"</formula>
    </cfRule>
    <cfRule type="cellIs" priority="20" operator="equal" aboveAverage="0" equalAverage="0" bottom="0" percent="0" rank="0" text="" dxfId="6">
      <formula>"OVERDUE"</formula>
    </cfRule>
    <cfRule type="cellIs" priority="21" operator="equal" aboveAverage="0" equalAverage="0" bottom="0" percent="0" rank="0" text="" dxfId="6">
      <formula>"NO-GO"</formula>
    </cfRule>
    <cfRule type="cellIs" priority="22" operator="equal" aboveAverage="0" equalAverage="0" bottom="0" percent="0" rank="0" text="" dxfId="6">
      <formula>"Blocked"</formula>
    </cfRule>
  </conditionalFormatting>
  <conditionalFormatting sqref="H6:H60">
    <cfRule type="cellIs" priority="23" operator="equal" aboveAverage="0" equalAverage="0" bottom="0" percent="0" rank="0" text="" dxfId="3">
      <formula>"Complete"</formula>
    </cfRule>
    <cfRule type="cellIs" priority="24" operator="equal" aboveAverage="0" equalAverage="0" bottom="0" percent="0" rank="0" text="" dxfId="3">
      <formula>"Done"</formula>
    </cfRule>
    <cfRule type="cellIs" priority="25" operator="equal" aboveAverage="0" equalAverage="0" bottom="0" percent="0" rank="0" text="" dxfId="3">
      <formula>"Closed"</formula>
    </cfRule>
    <cfRule type="cellIs" priority="26" operator="equal" aboveAverage="0" equalAverage="0" bottom="0" percent="0" rank="0" text="" dxfId="3">
      <formula>"Answered"</formula>
    </cfRule>
    <cfRule type="cellIs" priority="27" operator="equal" aboveAverage="0" equalAverage="0" bottom="0" percent="0" rank="0" text="" dxfId="4">
      <formula>"Approved"</formula>
    </cfRule>
    <cfRule type="cellIs" priority="28" operator="equal" aboveAverage="0" equalAverage="0" bottom="0" percent="0" rank="0" text="" dxfId="4">
      <formula>"On Track"</formula>
    </cfRule>
    <cfRule type="cellIs" priority="29" operator="equal" aboveAverage="0" equalAverage="0" bottom="0" percent="0" rank="0" text="" dxfId="4">
      <formula>"Green"</formula>
    </cfRule>
    <cfRule type="cellIs" priority="30" operator="equal" aboveAverage="0" equalAverage="0" bottom="0" percent="0" rank="0" text="" dxfId="4">
      <formula>"GO"</formula>
    </cfRule>
    <cfRule type="cellIs" priority="31" operator="equal" aboveAverage="0" equalAverage="0" bottom="0" percent="0" rank="0" text="" dxfId="4">
      <formula>"Low"</formula>
    </cfRule>
    <cfRule type="cellIs" priority="32" operator="equal" aboveAverage="0" equalAverage="0" bottom="0" percent="0" rank="0" text="" dxfId="5">
      <formula>"At Risk"</formula>
    </cfRule>
    <cfRule type="cellIs" priority="33" operator="equal" aboveAverage="0" equalAverage="0" bottom="0" percent="0" rank="0" text="" dxfId="5">
      <formula>"Amber"</formula>
    </cfRule>
    <cfRule type="cellIs" priority="34" operator="equal" aboveAverage="0" equalAverage="0" bottom="0" percent="0" rank="0" text="" dxfId="5">
      <formula>"Medium"</formula>
    </cfRule>
    <cfRule type="cellIs" priority="35" operator="equal" aboveAverage="0" equalAverage="0" bottom="0" percent="0" rank="0" text="" dxfId="5">
      <formula>"Pending"</formula>
    </cfRule>
    <cfRule type="cellIs" priority="36" operator="equal" aboveAverage="0" equalAverage="0" bottom="0" percent="0" rank="0" text="" dxfId="5">
      <formula>"Open"</formula>
    </cfRule>
    <cfRule type="cellIs" priority="37" operator="equal" aboveAverage="0" equalAverage="0" bottom="0" percent="0" rank="0" text="" dxfId="6">
      <formula>"Late"</formula>
    </cfRule>
    <cfRule type="cellIs" priority="38" operator="equal" aboveAverage="0" equalAverage="0" bottom="0" percent="0" rank="0" text="" dxfId="6">
      <formula>"Red"</formula>
    </cfRule>
    <cfRule type="cellIs" priority="39" operator="equal" aboveAverage="0" equalAverage="0" bottom="0" percent="0" rank="0" text="" dxfId="6">
      <formula>"High"</formula>
    </cfRule>
    <cfRule type="cellIs" priority="40" operator="equal" aboveAverage="0" equalAverage="0" bottom="0" percent="0" rank="0" text="" dxfId="6">
      <formula>"Overdue"</formula>
    </cfRule>
    <cfRule type="cellIs" priority="41" operator="equal" aboveAverage="0" equalAverage="0" bottom="0" percent="0" rank="0" text="" dxfId="6">
      <formula>"OVERDUE"</formula>
    </cfRule>
    <cfRule type="cellIs" priority="42" operator="equal" aboveAverage="0" equalAverage="0" bottom="0" percent="0" rank="0" text="" dxfId="6">
      <formula>"NO-GO"</formula>
    </cfRule>
    <cfRule type="cellIs" priority="43" operator="equal" aboveAverage="0" equalAverage="0" bottom="0" percent="0" rank="0" text="" dxfId="6">
      <formula>"Blocked"</formula>
    </cfRule>
    <cfRule type="cellIs" priority="44" operator="equal" aboveAverage="0" equalAverage="0" bottom="0" percent="0" rank="0" text="" dxfId="5">
      <formula>"Due soon"</formula>
    </cfRule>
  </conditionalFormatting>
  <dataValidations count="3">
    <dataValidation allowBlank="true" errorStyle="stop" operator="between" showDropDown="false" showErrorMessage="false" showInputMessage="false" sqref="C6:C60" type="list">
      <formula1>Lists!$K$5:$K$8</formula1>
      <formula2>0</formula2>
    </dataValidation>
    <dataValidation allowBlank="true" errorStyle="stop" operator="between" showDropDown="false" showErrorMessage="false" showInputMessage="false" sqref="G6:G60" type="list">
      <formula1>Lists!$F$5:$F$6</formula1>
      <formula2>0</formula2>
    </dataValidation>
    <dataValidation allowBlank="true" errorStyle="stop" operator="between" showDropDown="false" showErrorMessage="false" showInputMessage="false" sqref="E6:E60" type="list">
      <formula1>Lists!$B$5:$B$16</formula1>
      <formula2>0</formula2>
    </dataValidation>
  </dataValidations>
  <printOptions headings="false" gridLines="false" gridLinesSet="true" horizontalCentered="true" verticalCentered="false"/>
  <pageMargins left="0.4" right="0.4" top="0.5" bottom="0.5"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C9D3DF"/>
    <pageSetUpPr fitToPage="true"/>
  </sheetPr>
  <dimension ref="A1:K1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1" min="1" style="0" width="24"/>
  </cols>
  <sheetData>
    <row r="1" customFormat="false" ht="19.7" hidden="false" customHeight="false" outlineLevel="0" collapsed="false">
      <c r="A1" s="9" t="s">
        <v>39</v>
      </c>
    </row>
    <row r="2" customFormat="false" ht="15" hidden="false" customHeight="false" outlineLevel="0" collapsed="false">
      <c r="A2" s="2" t="s">
        <v>360</v>
      </c>
    </row>
    <row r="4" customFormat="false" ht="30" hidden="false" customHeight="true" outlineLevel="0" collapsed="false">
      <c r="A4" s="28" t="s">
        <v>361</v>
      </c>
      <c r="B4" s="28" t="s">
        <v>362</v>
      </c>
      <c r="C4" s="28" t="s">
        <v>363</v>
      </c>
      <c r="D4" s="28" t="s">
        <v>364</v>
      </c>
      <c r="E4" s="28" t="s">
        <v>365</v>
      </c>
      <c r="F4" s="28" t="s">
        <v>366</v>
      </c>
      <c r="G4" s="28" t="s">
        <v>367</v>
      </c>
      <c r="H4" s="28" t="s">
        <v>368</v>
      </c>
      <c r="I4" s="28" t="s">
        <v>369</v>
      </c>
      <c r="J4" s="28" t="s">
        <v>370</v>
      </c>
      <c r="K4" s="28" t="s">
        <v>371</v>
      </c>
    </row>
    <row r="5" customFormat="false" ht="15" hidden="false" customHeight="false" outlineLevel="0" collapsed="false">
      <c r="A5" s="42" t="s">
        <v>85</v>
      </c>
      <c r="B5" s="42" t="s">
        <v>127</v>
      </c>
      <c r="C5" s="42" t="s">
        <v>296</v>
      </c>
      <c r="D5" s="42" t="s">
        <v>298</v>
      </c>
      <c r="E5" s="42" t="s">
        <v>244</v>
      </c>
      <c r="F5" s="42" t="s">
        <v>298</v>
      </c>
      <c r="G5" s="42" t="s">
        <v>128</v>
      </c>
      <c r="H5" s="42" t="s">
        <v>267</v>
      </c>
      <c r="I5" s="42" t="s">
        <v>218</v>
      </c>
      <c r="J5" s="42" t="s">
        <v>27</v>
      </c>
      <c r="K5" s="42" t="s">
        <v>344</v>
      </c>
    </row>
    <row r="6" customFormat="false" ht="15" hidden="false" customHeight="false" outlineLevel="0" collapsed="false">
      <c r="A6" s="42" t="s">
        <v>86</v>
      </c>
      <c r="B6" s="42" t="s">
        <v>131</v>
      </c>
      <c r="C6" s="42" t="s">
        <v>317</v>
      </c>
      <c r="D6" s="42" t="s">
        <v>310</v>
      </c>
      <c r="E6" s="42" t="s">
        <v>239</v>
      </c>
      <c r="F6" s="42" t="s">
        <v>346</v>
      </c>
      <c r="G6" s="42" t="s">
        <v>132</v>
      </c>
      <c r="H6" s="42" t="s">
        <v>278</v>
      </c>
      <c r="I6" s="42" t="s">
        <v>219</v>
      </c>
      <c r="J6" s="42" t="s">
        <v>305</v>
      </c>
      <c r="K6" s="42" t="s">
        <v>358</v>
      </c>
    </row>
    <row r="7" customFormat="false" ht="15" hidden="false" customHeight="false" outlineLevel="0" collapsed="false">
      <c r="A7" s="42" t="s">
        <v>87</v>
      </c>
      <c r="B7" s="42" t="s">
        <v>141</v>
      </c>
      <c r="C7" s="42" t="s">
        <v>324</v>
      </c>
      <c r="D7" s="42" t="s">
        <v>306</v>
      </c>
      <c r="E7" s="42" t="s">
        <v>248</v>
      </c>
      <c r="F7" s="42"/>
      <c r="G7" s="42"/>
      <c r="H7" s="42"/>
      <c r="I7" s="42" t="s">
        <v>220</v>
      </c>
      <c r="J7" s="42" t="s">
        <v>334</v>
      </c>
      <c r="K7" s="42" t="s">
        <v>352</v>
      </c>
    </row>
    <row r="8" customFormat="false" ht="15" hidden="false" customHeight="false" outlineLevel="0" collapsed="false">
      <c r="A8" s="42" t="s">
        <v>88</v>
      </c>
      <c r="B8" s="42" t="s">
        <v>149</v>
      </c>
      <c r="C8" s="42" t="s">
        <v>329</v>
      </c>
      <c r="D8" s="42"/>
      <c r="E8" s="42"/>
      <c r="F8" s="42"/>
      <c r="G8" s="42"/>
      <c r="H8" s="42"/>
      <c r="I8" s="42" t="s">
        <v>221</v>
      </c>
      <c r="J8" s="42" t="s">
        <v>326</v>
      </c>
      <c r="K8" s="42" t="s">
        <v>355</v>
      </c>
    </row>
    <row r="9" customFormat="false" ht="15" hidden="false" customHeight="false" outlineLevel="0" collapsed="false">
      <c r="A9" s="42" t="s">
        <v>89</v>
      </c>
      <c r="B9" s="42" t="s">
        <v>172</v>
      </c>
      <c r="C9" s="42"/>
      <c r="D9" s="42"/>
      <c r="E9" s="42"/>
      <c r="F9" s="42"/>
      <c r="G9" s="42"/>
      <c r="H9" s="42"/>
      <c r="I9" s="42" t="s">
        <v>222</v>
      </c>
      <c r="J9" s="42" t="s">
        <v>314</v>
      </c>
      <c r="K9" s="42"/>
    </row>
    <row r="10" customFormat="false" ht="15" hidden="false" customHeight="false" outlineLevel="0" collapsed="false">
      <c r="A10" s="42" t="s">
        <v>90</v>
      </c>
      <c r="B10" s="42" t="s">
        <v>146</v>
      </c>
      <c r="C10" s="42"/>
      <c r="D10" s="42"/>
      <c r="E10" s="42"/>
      <c r="F10" s="42"/>
      <c r="G10" s="42"/>
      <c r="H10" s="42"/>
      <c r="I10" s="42" t="s">
        <v>223</v>
      </c>
      <c r="J10" s="42" t="s">
        <v>372</v>
      </c>
      <c r="K10" s="42"/>
    </row>
    <row r="11" customFormat="false" ht="15" hidden="false" customHeight="false" outlineLevel="0" collapsed="false">
      <c r="A11" s="42"/>
      <c r="B11" s="42" t="s">
        <v>180</v>
      </c>
      <c r="C11" s="42"/>
      <c r="D11" s="42"/>
      <c r="E11" s="42"/>
      <c r="F11" s="42"/>
      <c r="G11" s="42"/>
      <c r="H11" s="42"/>
      <c r="I11" s="42" t="s">
        <v>224</v>
      </c>
      <c r="J11" s="42"/>
      <c r="K11" s="42"/>
    </row>
    <row r="12" customFormat="false" ht="15" hidden="false" customHeight="false" outlineLevel="0" collapsed="false">
      <c r="A12" s="42"/>
      <c r="B12" s="42" t="s">
        <v>195</v>
      </c>
      <c r="C12" s="42"/>
      <c r="D12" s="42"/>
      <c r="E12" s="42"/>
      <c r="F12" s="42"/>
      <c r="G12" s="42"/>
      <c r="H12" s="42"/>
      <c r="I12" s="42" t="s">
        <v>225</v>
      </c>
      <c r="J12" s="42"/>
      <c r="K12" s="42"/>
    </row>
    <row r="13" customFormat="false" ht="15" hidden="false" customHeight="false" outlineLevel="0" collapsed="false">
      <c r="A13" s="42"/>
      <c r="B13" s="42" t="s">
        <v>198</v>
      </c>
      <c r="C13" s="42"/>
      <c r="D13" s="42"/>
      <c r="E13" s="42"/>
      <c r="F13" s="42"/>
      <c r="G13" s="42"/>
      <c r="H13" s="42"/>
      <c r="I13" s="42"/>
      <c r="J13" s="42"/>
      <c r="K13" s="42"/>
    </row>
    <row r="14" customFormat="false" ht="15" hidden="false" customHeight="false" outlineLevel="0" collapsed="false">
      <c r="A14" s="42"/>
      <c r="B14" s="42" t="s">
        <v>373</v>
      </c>
      <c r="C14" s="42"/>
      <c r="D14" s="42"/>
      <c r="E14" s="42"/>
      <c r="F14" s="42"/>
      <c r="G14" s="42"/>
      <c r="H14" s="42"/>
      <c r="I14" s="42"/>
      <c r="J14" s="42"/>
      <c r="K14" s="42"/>
    </row>
    <row r="15" customFormat="false" ht="15" hidden="false" customHeight="false" outlineLevel="0" collapsed="false">
      <c r="A15" s="42"/>
      <c r="B15" s="42"/>
      <c r="C15" s="42"/>
      <c r="D15" s="42"/>
      <c r="E15" s="42"/>
      <c r="F15" s="42"/>
      <c r="G15" s="42"/>
      <c r="H15" s="42"/>
      <c r="I15" s="42"/>
      <c r="J15" s="42"/>
      <c r="K15" s="42"/>
    </row>
    <row r="16" customFormat="false" ht="15" hidden="false" customHeight="false" outlineLevel="0" collapsed="false">
      <c r="A16" s="42"/>
      <c r="B16" s="42"/>
      <c r="C16" s="42"/>
      <c r="D16" s="42"/>
      <c r="E16" s="42"/>
      <c r="F16" s="42"/>
      <c r="G16" s="42"/>
      <c r="H16" s="42"/>
      <c r="I16" s="42"/>
      <c r="J16" s="42"/>
      <c r="K16" s="42"/>
    </row>
  </sheetData>
  <printOptions headings="false" gridLines="false" gridLinesSet="true" horizontalCentered="true" verticalCentered="false"/>
  <pageMargins left="0.4" right="0.4" top="0.5" bottom="0.5"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2026-10-01T16:59:00Z</dcterms:created>
  <dc:creator>openpyxl</dc:creator>
  <dc:description/>
  <dc:language>en-US</dc:language>
  <cp:lastModifiedBy/>
  <dcterms:modified xsi:type="dcterms:W3CDTF">2026-10-01T12:59:02Z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