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xl/comments5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ADME" sheetId="1" state="visible" r:id="rId3"/>
    <sheet name="Portfolio_Dashboard" sheetId="2" state="visible" r:id="rId4"/>
    <sheet name="Monthly_Updates" sheetId="3" state="visible" r:id="rId5"/>
    <sheet name="Project_Register" sheetId="4" state="visible" r:id="rId6"/>
    <sheet name="Resource_Load" sheetId="5" state="visible" r:id="rId7"/>
    <sheet name="Rules" sheetId="6" state="visible" r:id="rId8"/>
    <sheet name="Lists" sheetId="7" state="visible" r:id="rId9"/>
  </sheets>
  <definedNames>
    <definedName function="false" hidden="false" localSheetId="2" name="_xlnm.Print_Area" vbProcedure="false">Monthly_Updates!$A$1:$T$41</definedName>
    <definedName function="false" hidden="false" name="Capacity" vbProcedure="false">Resource_Load!$K$4</definedName>
    <definedName function="false" hidden="false" name="Cost_Amber" vbProcedure="false">Rules!$B$6</definedName>
    <definedName function="false" hidden="false" name="Cost_Red" vbProcedure="false">Rules!$C$6</definedName>
    <definedName function="false" hidden="false" name="RptMonth" vbProcedure="false">Portfolio_Dashboard!$C$4</definedName>
    <definedName function="false" hidden="false" name="Slip_Amber" vbProcedure="false">Rules!$B$7</definedName>
    <definedName function="false" hidden="false" name="Slip_Red" vbProcedure="false">Rules!$C$7</definedName>
    <definedName function="false" hidden="false" name="SV_Amber" vbProcedure="false">Rules!$B$5</definedName>
    <definedName function="false" hidden="false" name="SV_Red" vbProcedure="false">Rules!$C$5</definedName>
    <definedName function="false" hidden="false" name="UpdateDue" vbProcedure="false">Rules!$B$8</definedName>
  </definedNames>
  <calcPr iterateCount="100" refMode="A1" iterate="false" iterateDelta="0.0001" fullCalcOnLoad="1"/>
  <extLst>
    <ext xmlns:loext="http://schemas.libreoffice.org/" uri="{7626C862-2A13-11E5-B345-FEFF819CDC9F}">
      <loext:extCalcPr stringRefSyntax="ExcelA1"/>
    </ext>
  </extLst>
</workbook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K4" authorId="0">
      <text>
        <r>
          <rPr>
            <sz val="10"/>
            <rFont val="Arial"/>
            <family val="2"/>
          </rPr>
          <t xml:space="preserve">About 35 project hours a week after meetings, email and admin.</t>
        </r>
      </text>
    </comment>
  </commentList>
</comments>
</file>

<file path=xl/sharedStrings.xml><?xml version="1.0" encoding="utf-8"?>
<sst xmlns="http://schemas.openxmlformats.org/spreadsheetml/2006/main" count="484" uniqueCount="213">
  <si>
    <t xml:space="preserve">PMO Portfolio Report Workbook</t>
  </si>
  <si>
    <t xml:space="preserve">Built by Adam J. Asifo (Claude by Anthropic assisted with formulas and testing) · adamjasifo@gmail.com</t>
  </si>
  <si>
    <t xml:space="preserve">What this is</t>
  </si>
  <si>
    <t xml:space="preserve">A small project management office (PMO) setup: 10 projects, one monthly update from each project manager, and one dashboard for leadership. It also checks the updates: it catches projects reported Green when the numbers say otherwise ('watermelons'), missing or late updates, and % complete that went backwards.</t>
  </si>
  <si>
    <t xml:space="preserve">Why build it this way: I can work out any one of these numbers by hand. But 10 projects × 12 months is 120 updates a year, and every project should be judged by the same rules every month.</t>
  </si>
  <si>
    <t xml:space="preserve">Start here: you only need these 3 things</t>
  </si>
  <si>
    <t xml:space="preserve">Don't get overwhelmed. Most of this file fills itself in. These are the only places you type or pick something; everything else updates on its own.</t>
  </si>
  <si>
    <t xml:space="preserve">Where</t>
  </si>
  <si>
    <t xml:space="preserve">What you do</t>
  </si>
  <si>
    <t xml:space="preserve">What happens</t>
  </si>
  <si>
    <t xml:space="preserve">Portfolio_Dashboard → cell C4 (Month)</t>
  </si>
  <si>
    <t xml:space="preserve">Pick a month from the drop-down.</t>
  </si>
  <si>
    <t xml:space="preserve">The table, the counts and the flags all switch to that month.</t>
  </si>
  <si>
    <t xml:space="preserve">Monthly_Updates → yellow columns</t>
  </si>
  <si>
    <t xml:space="preserve">Add one row per project per month: pick the month and project ID, type % complete, cost to date, forecast cost and forecast finish, and pick the PM's color.</t>
  </si>
  <si>
    <t xml:space="preserve">The white columns compare it to the plan and the rules, and flag watermelons, late updates and % that went backwards.</t>
  </si>
  <si>
    <t xml:space="preserve">Rules → yellow cells</t>
  </si>
  <si>
    <t xml:space="preserve">Optional: change a threshold, for example Red at −15 points.</t>
  </si>
  <si>
    <t xml:space="preserve">Every project is re-judged by the new rule.</t>
  </si>
  <si>
    <t xml:space="preserve">Yellow cells = you type or pick from a list. Cells with a small arrow have a drop-down menu: click the cell, then the arrow, and pick a word. White cells are formulas, so leave them alone.</t>
  </si>
  <si>
    <t xml:space="preserve">What each tab is for</t>
  </si>
  <si>
    <t xml:space="preserve">Portfolio_Dashboard</t>
  </si>
  <si>
    <t xml:space="preserve">One page for leadership: every project's color (the PM's vs. the calculated one), flags, budget vs. forecast, a trend chart.</t>
  </si>
  <si>
    <t xml:space="preserve">Monthly_Updates</t>
  </si>
  <si>
    <t xml:space="preserve">4 months of updates from 5 project managers, each checked against the plan.</t>
  </si>
  <si>
    <t xml:space="preserve">Project_Register</t>
  </si>
  <si>
    <t xml:space="preserve">The plan for each project: start, planned finish and budget. Everything is measured against this.</t>
  </si>
  <si>
    <t xml:space="preserve">Resource_Load</t>
  </si>
  <si>
    <t xml:space="preserve">Hours per person per month vs. capacity (140 hours). Over 100% = overbooked.</t>
  </si>
  <si>
    <t xml:space="preserve">Rules</t>
  </si>
  <si>
    <t xml:space="preserve">The Amber and Red thresholds, in one place, written in plain English.</t>
  </si>
  <si>
    <t xml:space="preserve">Lists</t>
  </si>
  <si>
    <t xml:space="preserve">The choices in every drop-down.</t>
  </si>
  <si>
    <t xml:space="preserve">Try it (1 minute)</t>
  </si>
  <si>
    <t xml:space="preserve">1. Go to the Portfolio_Dashboard and change cell C4 to September 2026.</t>
  </si>
  <si>
    <t xml:space="preserve">2. P-201 (CRM Data Migration) is already flagged as a watermelon that month: the PM said Green, but it was 13 points behind plan.</t>
  </si>
  <si>
    <t xml:space="preserve">3. Switch back to October 2026: it's now 24 points behind and Red.</t>
  </si>
  <si>
    <t xml:space="preserve">To undo, press Ctrl+Z (Cmd+Z on a Mac).</t>
  </si>
  <si>
    <t xml:space="preserve">Good to know</t>
  </si>
  <si>
    <t xml:space="preserve">• Blank on purpose: P-208's October row has no numbers because the PM didn't send an update. That's why the dashboard shows 'Missing update'. Closed and on-hold projects show '—' because they aren't scored.</t>
  </si>
  <si>
    <t xml:space="preserve">• Planned % is simple: 50 days into a 100-day project, you should be about 50% done. Schedule variance = reported % minus planned %, in points.</t>
  </si>
  <si>
    <t xml:space="preserve">• Next month: add the new month to Lists → Report Month, then add the PMs' rows to Monthly_Updates. The formulas are already filled down.</t>
  </si>
  <si>
    <t xml:space="preserve">• Works in Excel 2010 or newer (Windows or Mac), Excel online and Google Sheets. Formulas only, no macros, so no security warnings.</t>
  </si>
  <si>
    <t xml:space="preserve">• All companies, people, dates and dollar amounts are fictional sample data.</t>
  </si>
  <si>
    <t xml:space="preserve">Portfolio Dashboard — 10 Projects, One Page</t>
  </si>
  <si>
    <t xml:space="preserve">Sample PMO report with fictional data. Pick a month (yellow cell). Every number is calculated from the register and the monthly updates.</t>
  </si>
  <si>
    <t xml:space="preserve">Month:</t>
  </si>
  <si>
    <t xml:space="preserve">Active projects</t>
  </si>
  <si>
    <t xml:space="preserve">Green / Amber / Red (calculated)</t>
  </si>
  <si>
    <t xml:space="preserve">Watermelons (PM says Green, data doesn't)</t>
  </si>
  <si>
    <t xml:space="preserve">Updates missing / late</t>
  </si>
  <si>
    <t xml:space="preserve">Budget (active projects)</t>
  </si>
  <si>
    <t xml:space="preserve">Forecast (active projects)</t>
  </si>
  <si>
    <t xml:space="preserve">Slipping over 30 days</t>
  </si>
  <si>
    <t xml:space="preserve">People overbooked (next 3 months)</t>
  </si>
  <si>
    <t xml:space="preserve">Project status for the selected month</t>
  </si>
  <si>
    <t xml:space="preserve">ID</t>
  </si>
  <si>
    <t xml:space="preserve">Project</t>
  </si>
  <si>
    <t xml:space="preserve">PM</t>
  </si>
  <si>
    <t xml:space="preserve">Reported %</t>
  </si>
  <si>
    <t xml:space="preserve">Planned %</t>
  </si>
  <si>
    <t xml:space="preserve">Sched. Var. (pts)</t>
  </si>
  <si>
    <t xml:space="preserve">Cost vs Budget</t>
  </si>
  <si>
    <t xml:space="preserve">Finish Slip (days)</t>
  </si>
  <si>
    <t xml:space="preserve">PM's Color</t>
  </si>
  <si>
    <t xml:space="preserve">Calculated Color</t>
  </si>
  <si>
    <t xml:space="preserve">Flag</t>
  </si>
  <si>
    <t xml:space="preserve">Color trend (calculated)</t>
  </si>
  <si>
    <t xml:space="preserve">Month</t>
  </si>
  <si>
    <t xml:space="preserve">Green</t>
  </si>
  <si>
    <t xml:space="preserve">Amber</t>
  </si>
  <si>
    <t xml:space="preserve">Red</t>
  </si>
  <si>
    <t xml:space="preserve">Monthly Updates from Project Managers</t>
  </si>
  <si>
    <t xml:space="preserve">PMs fill the yellow columns by the 5th of each month. The white columns check the update against the plan and the rules.</t>
  </si>
  <si>
    <t xml:space="preserve">Yellow cells = you type or pick from a list here.  White cells fill themselves in (don't type over them).</t>
  </si>
  <si>
    <t xml:space="preserve">Project ID</t>
  </si>
  <si>
    <t xml:space="preserve">Reported % Complete</t>
  </si>
  <si>
    <t xml:space="preserve">Actual Cost to Date</t>
  </si>
  <si>
    <t xml:space="preserve">Forecast Total Cost</t>
  </si>
  <si>
    <t xml:space="preserve">Forecast Finish</t>
  </si>
  <si>
    <t xml:space="preserve">PM Note</t>
  </si>
  <si>
    <t xml:space="preserve">Date Submitted</t>
  </si>
  <si>
    <t xml:space="preserve">Planned % (straight-line)</t>
  </si>
  <si>
    <t xml:space="preserve">Schedule Variance (pts)</t>
  </si>
  <si>
    <t xml:space="preserve">Cost Forecast vs Budget</t>
  </si>
  <si>
    <t xml:space="preserve">Watermelon?</t>
  </si>
  <si>
    <t xml:space="preserve">Update Timing</t>
  </si>
  <si>
    <t xml:space="preserve">% Dropped?</t>
  </si>
  <si>
    <t xml:space="preserve">helper: key</t>
  </si>
  <si>
    <t xml:space="preserve">Status This Month</t>
  </si>
  <si>
    <t xml:space="preserve">P-201</t>
  </si>
  <si>
    <t xml:space="preserve">Field mapping done</t>
  </si>
  <si>
    <t xml:space="preserve">Active</t>
  </si>
  <si>
    <t xml:space="preserve">P-202</t>
  </si>
  <si>
    <t xml:space="preserve">Printers ordered</t>
  </si>
  <si>
    <t xml:space="preserve">P-203</t>
  </si>
  <si>
    <t xml:space="preserve">Design approved</t>
  </si>
  <si>
    <t xml:space="preserve">P-204</t>
  </si>
  <si>
    <t xml:space="preserve">Furniture delivered</t>
  </si>
  <si>
    <t xml:space="preserve">P-205</t>
  </si>
  <si>
    <t xml:space="preserve">Units ordered</t>
  </si>
  <si>
    <t xml:space="preserve">P-206</t>
  </si>
  <si>
    <t xml:space="preserve">Gap assessment done</t>
  </si>
  <si>
    <t xml:space="preserve">P-209</t>
  </si>
  <si>
    <t xml:space="preserve">Scanning vendor selected</t>
  </si>
  <si>
    <t xml:space="preserve">Test load 1 complete</t>
  </si>
  <si>
    <t xml:space="preserve">Pilot site live</t>
  </si>
  <si>
    <t xml:space="preserve">Build started</t>
  </si>
  <si>
    <t xml:space="preserve">Punch list</t>
  </si>
  <si>
    <t xml:space="preserve">Install vendor short-staffed</t>
  </si>
  <si>
    <t xml:space="preserve">Policies drafted</t>
  </si>
  <si>
    <t xml:space="preserve">P-207</t>
  </si>
  <si>
    <t xml:space="preserve">Kickoff + sitemap</t>
  </si>
  <si>
    <t xml:space="preserve">Scanning underway</t>
  </si>
  <si>
    <t xml:space="preserve">P-210</t>
  </si>
  <si>
    <t xml:space="preserve">Contractor selected; site prep done</t>
  </si>
  <si>
    <t xml:space="preserve">Data cleanup taking longer than planned</t>
  </si>
  <si>
    <t xml:space="preserve">3 of 5 sites live</t>
  </si>
  <si>
    <t xml:space="preserve">Extra sign-on (SSO) work quoted</t>
  </si>
  <si>
    <t xml:space="preserve">Closed Sep 25</t>
  </si>
  <si>
    <t xml:space="preserve">Closed</t>
  </si>
  <si>
    <t xml:space="preserve">Vendor delays; new date Nov 20</t>
  </si>
  <si>
    <t xml:space="preserve">Evidence collection behind</t>
  </si>
  <si>
    <t xml:space="preserve">Designs approved</t>
  </si>
  <si>
    <t xml:space="preserve">P-208</t>
  </si>
  <si>
    <t xml:space="preserve">Numbers ported for pilot</t>
  </si>
  <si>
    <t xml:space="preserve">Ahead of plan</t>
  </si>
  <si>
    <t xml:space="preserve">Put on hold: budget freeze</t>
  </si>
  <si>
    <t xml:space="preserve">On Hold</t>
  </si>
  <si>
    <t xml:space="preserve">Still targeting Dec 18 go-live</t>
  </si>
  <si>
    <t xml:space="preserve">On track for Nov 20</t>
  </si>
  <si>
    <t xml:space="preserve">Cost 4% over; sponsor informed</t>
  </si>
  <si>
    <t xml:space="preserve">New date Dec 14; 14 trucks left</t>
  </si>
  <si>
    <t xml:space="preserve">Auditor booked for March</t>
  </si>
  <si>
    <t xml:space="preserve">Build 50% done</t>
  </si>
  <si>
    <t xml:space="preserve">(No update received. It was due by the 5th.)</t>
  </si>
  <si>
    <t xml:space="preserve">Found 2 more boxes of files; rescoped</t>
  </si>
  <si>
    <t xml:space="preserve">Still on hold</t>
  </si>
  <si>
    <t xml:space="preserve">Project Register</t>
  </si>
  <si>
    <t xml:space="preserve">One row per project: the plan everything is measured against. Fictional company and people.</t>
  </si>
  <si>
    <t xml:space="preserve">Type</t>
  </si>
  <si>
    <t xml:space="preserve">Project Manager</t>
  </si>
  <si>
    <t xml:space="preserve">Sponsor</t>
  </si>
  <si>
    <t xml:space="preserve">Status</t>
  </si>
  <si>
    <t xml:space="preserve">Start</t>
  </si>
  <si>
    <t xml:space="preserve">Planned Finish</t>
  </si>
  <si>
    <t xml:space="preserve">Budget</t>
  </si>
  <si>
    <t xml:space="preserve">CRM Data Migration</t>
  </si>
  <si>
    <t xml:space="preserve">IT</t>
  </si>
  <si>
    <t xml:space="preserve">D. Carter</t>
  </si>
  <si>
    <t xml:space="preserve">VP Sales</t>
  </si>
  <si>
    <t xml:space="preserve">Warehouse Label Printer Rollout</t>
  </si>
  <si>
    <t xml:space="preserve">Operations</t>
  </si>
  <si>
    <t xml:space="preserve">S. Nguyen</t>
  </si>
  <si>
    <t xml:space="preserve">COO</t>
  </si>
  <si>
    <t xml:space="preserve">HR Onboarding Portal</t>
  </si>
  <si>
    <t xml:space="preserve">HR Director</t>
  </si>
  <si>
    <t xml:space="preserve">HQ Lobby Refresh</t>
  </si>
  <si>
    <t xml:space="preserve">Facilities</t>
  </si>
  <si>
    <t xml:space="preserve">R. Patel</t>
  </si>
  <si>
    <t xml:space="preserve">Fleet GPS Rollout</t>
  </si>
  <si>
    <t xml:space="preserve">SOC 2 Readiness</t>
  </si>
  <si>
    <t xml:space="preserve">Compliance</t>
  </si>
  <si>
    <t xml:space="preserve">K. Brooks</t>
  </si>
  <si>
    <t xml:space="preserve">CFO</t>
  </si>
  <si>
    <t xml:space="preserve">Website Redesign</t>
  </si>
  <si>
    <t xml:space="preserve">Marketing</t>
  </si>
  <si>
    <t xml:space="preserve">L. Ortiz</t>
  </si>
  <si>
    <t xml:space="preserve">CMO</t>
  </si>
  <si>
    <t xml:space="preserve">Phone System to Teams Calling</t>
  </si>
  <si>
    <t xml:space="preserve">CIO</t>
  </si>
  <si>
    <t xml:space="preserve">Records Digitization</t>
  </si>
  <si>
    <t xml:space="preserve">Parking Lot Resurfacing</t>
  </si>
  <si>
    <t xml:space="preserve">Resource Load — Who Is Booked Over Capacity?</t>
  </si>
  <si>
    <t xml:space="preserve">List each person's hours per project per month (left). The grid adds them up against capacity. Over 100% = overbooked.</t>
  </si>
  <si>
    <t xml:space="preserve">Monthly capacity (hours per person)</t>
  </si>
  <si>
    <t xml:space="preserve">Person</t>
  </si>
  <si>
    <t xml:space="preserve">Role</t>
  </si>
  <si>
    <t xml:space="preserve">Hours</t>
  </si>
  <si>
    <t xml:space="preserve">Nov 2026</t>
  </si>
  <si>
    <t xml:space="preserve">Dec 2026</t>
  </si>
  <si>
    <t xml:space="preserve">Jan 2027</t>
  </si>
  <si>
    <t xml:space="preserve">Peak %</t>
  </si>
  <si>
    <t xml:space="preserve">Over?</t>
  </si>
  <si>
    <t xml:space="preserve">A. Kim</t>
  </si>
  <si>
    <t xml:space="preserve">T. Jones</t>
  </si>
  <si>
    <t xml:space="preserve">M. Davis</t>
  </si>
  <si>
    <t xml:space="preserve">Green under 90% · amber 90–100% · red over 100%. Row 5 above the grid holds the month each column adds up.</t>
  </si>
  <si>
    <t xml:space="preserve">Business Analyst</t>
  </si>
  <si>
    <t xml:space="preserve">IT Technician</t>
  </si>
  <si>
    <t xml:space="preserve">Facilities Coordinator</t>
  </si>
  <si>
    <t xml:space="preserve">Status Rules (the same rules for every project)</t>
  </si>
  <si>
    <t xml:space="preserve">The calculated color comes from these numbers, not from how a project 'feels'. Change a threshold here and every project re-checks.</t>
  </si>
  <si>
    <t xml:space="preserve">Rule</t>
  </si>
  <si>
    <t xml:space="preserve">Amber at</t>
  </si>
  <si>
    <t xml:space="preserve">Red at</t>
  </si>
  <si>
    <t xml:space="preserve">Plain English</t>
  </si>
  <si>
    <t xml:space="preserve">Schedule variance (points behind plan)</t>
  </si>
  <si>
    <t xml:space="preserve">Actual % complete minus planned % complete. -15 means 15 points behind.</t>
  </si>
  <si>
    <t xml:space="preserve">Cost forecast vs. budget</t>
  </si>
  <si>
    <t xml:space="preserve">Forecast total cost ÷ budget. Over 100% is Amber; over 110% is Red.</t>
  </si>
  <si>
    <t xml:space="preserve">Finish date slip (days)</t>
  </si>
  <si>
    <t xml:space="preserve">Forecast finish minus planned finish. Any slip is Amber; more than 30 days is Red.</t>
  </si>
  <si>
    <t xml:space="preserve">Update due (days after month end)</t>
  </si>
  <si>
    <t xml:space="preserve">Monthly updates are due by the 5th. Later = 'Late update'.</t>
  </si>
  <si>
    <t xml:space="preserve">Calculated color: Red if ANY Red rule is hit. Amber if any Amber rule is hit. Otherwise Green. Projects on hold or closed aren't colored.</t>
  </si>
  <si>
    <t xml:space="preserve">Watermelon check: a project the PM reported as Green, but the numbers say Amber or Red (green outside, red inside).</t>
  </si>
  <si>
    <t xml:space="preserve">Drop-down values.</t>
  </si>
  <si>
    <t xml:space="preserve">Project Type</t>
  </si>
  <si>
    <t xml:space="preserve">Project Status</t>
  </si>
  <si>
    <t xml:space="preserve">RAG</t>
  </si>
  <si>
    <t xml:space="preserve">Report Month</t>
  </si>
  <si>
    <t xml:space="preserve">People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</si>
</sst>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mmmm\ yyyy"/>
    <numFmt numFmtId="166" formatCode=";;;"/>
    <numFmt numFmtId="167" formatCode="0"/>
    <numFmt numFmtId="168" formatCode="\$#,##0"/>
    <numFmt numFmtId="169" formatCode="0%"/>
    <numFmt numFmtId="170" formatCode="\+0;\-0;0"/>
    <numFmt numFmtId="171" formatCode="mmm\ yyyy"/>
    <numFmt numFmtId="172" formatCode="General"/>
    <numFmt numFmtId="173" formatCode="mmm\ d"/>
    <numFmt numFmtId="174" formatCode="mmm\ d&quot;, &quot;yyyy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A5F"/>
      <name val="Arial"/>
      <family val="0"/>
      <charset val="1"/>
    </font>
    <font>
      <i val="true"/>
      <sz val="9"/>
      <color rgb="FF5B6B7F"/>
      <name val="Arial"/>
      <family val="0"/>
      <charset val="1"/>
    </font>
    <font>
      <b val="true"/>
      <sz val="12"/>
      <color rgb="FF2A7F8E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b val="true"/>
      <sz val="10"/>
      <color rgb="FF1F3A5F"/>
      <name val="Arial"/>
      <family val="0"/>
      <charset val="1"/>
    </font>
    <font>
      <b val="true"/>
      <sz val="16"/>
      <color rgb="FF1F3A5F"/>
      <name val="Arial"/>
      <family val="0"/>
      <charset val="1"/>
    </font>
    <font>
      <sz val="10"/>
      <color rgb="FF0000FF"/>
      <name val="Arial"/>
      <family val="0"/>
      <charset val="1"/>
    </font>
    <font>
      <sz val="8"/>
      <color rgb="FF9AA5B1"/>
      <name val="Arial"/>
      <family val="0"/>
      <charset val="1"/>
    </font>
    <font>
      <b val="true"/>
      <sz val="9"/>
      <color rgb="FF5B6B7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9"/>
      <color rgb="FF5B6B7F"/>
      <name val="Arial"/>
      <family val="0"/>
      <charset val="1"/>
    </font>
    <font>
      <i val="true"/>
      <sz val="8"/>
      <color rgb="FF5B6B7F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3A5F"/>
        <bgColor rgb="FF333399"/>
      </patternFill>
    </fill>
    <fill>
      <patternFill patternType="solid">
        <fgColor rgb="FFFFF7D6"/>
        <bgColor rgb="FFFFFFFF"/>
      </patternFill>
    </fill>
    <fill>
      <patternFill patternType="solid">
        <fgColor rgb="FFEEF3F8"/>
        <bgColor rgb="FFE4E7EB"/>
      </patternFill>
    </fill>
    <fill>
      <patternFill patternType="solid">
        <fgColor rgb="FF2A7F8E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F"/>
      </left>
      <right style="thin">
        <color rgb="FFC9D3DF"/>
      </right>
      <top style="thin">
        <color rgb="FFC9D3DF"/>
      </top>
      <bottom style="thin">
        <color rgb="FFC9D3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4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4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2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2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9" fontId="12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12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3" fontId="12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2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ont>
        <name val="Arial"/>
        <charset val="1"/>
        <family val="0"/>
        <b val="1"/>
        <color rgb="FF444444"/>
      </font>
      <fill>
        <patternFill>
          <bgColor rgb="FFE4E7EB"/>
        </patternFill>
      </fill>
    </dxf>
    <dxf>
      <font>
        <name val="Arial"/>
        <charset val="1"/>
        <family val="0"/>
        <b val="1"/>
        <color rgb="FF1E6B35"/>
      </font>
      <fill>
        <patternFill>
          <bgColor rgb="FFD6F0DD"/>
        </patternFill>
      </fill>
    </dxf>
    <dxf>
      <font>
        <name val="Arial"/>
        <charset val="1"/>
        <family val="0"/>
        <b val="1"/>
        <color rgb="FF8A5A00"/>
      </font>
      <fill>
        <patternFill>
          <bgColor rgb="FFFFE8B3"/>
        </patternFill>
      </fill>
    </dxf>
    <dxf>
      <font>
        <name val="Arial"/>
        <charset val="1"/>
        <family val="0"/>
        <b val="1"/>
        <color rgb="FF9B1C13"/>
      </font>
      <fill>
        <patternFill>
          <bgColor rgb="FFF8D0CC"/>
        </patternFill>
      </fill>
    </dxf>
    <dxf>
      <font>
        <name val="Arial"/>
        <charset val="1"/>
        <family val="0"/>
        <b val="1"/>
        <color rgb="FF9B1C13"/>
      </font>
    </dxf>
    <dxf>
      <font>
        <name val="Arial"/>
        <charset val="1"/>
        <family val="0"/>
        <b val="1"/>
        <color rgb="FF1F3A5F"/>
      </font>
    </dxf>
    <dxf>
      <font>
        <name val="Arial"/>
        <charset val="1"/>
        <family val="0"/>
        <color rgb="FF8A5A00"/>
      </font>
      <fill>
        <patternFill>
          <bgColor rgb="FFFFE8B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35"/>
      <rgbColor rgb="FF000080"/>
      <rgbColor rgb="FF8A5A00"/>
      <rgbColor rgb="FF800080"/>
      <rgbColor rgb="FF2A7F8E"/>
      <rgbColor rgb="FFD9D9D9"/>
      <rgbColor rgb="FF878787"/>
      <rgbColor rgb="FF9999FF"/>
      <rgbColor rgb="FF993366"/>
      <rgbColor rgb="FFFFF7D6"/>
      <rgbColor rgb="FFEEF3F8"/>
      <rgbColor rgb="FF660066"/>
      <rgbColor rgb="FFFF8080"/>
      <rgbColor rgb="FF0066CC"/>
      <rgbColor rgb="FFC9D3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7EB"/>
      <rgbColor rgb="FFD6F0DD"/>
      <rgbColor rgb="FFFFE8B3"/>
      <rgbColor rgb="FF99CCFF"/>
      <rgbColor rgb="FFFF99CC"/>
      <rgbColor rgb="FFCC99FF"/>
      <rgbColor rgb="FFF8D0CC"/>
      <rgbColor rgb="FF3366FF"/>
      <rgbColor rgb="FF33CCCC"/>
      <rgbColor rgb="FF99CC00"/>
      <rgbColor rgb="FFFFCC00"/>
      <rgbColor rgb="FFE0A42B"/>
      <rgbColor rgb="FFD65A4E"/>
      <rgbColor rgb="FF5B6B7F"/>
      <rgbColor rgb="FF9AA5B1"/>
      <rgbColor rgb="FF1F3A5F"/>
      <rgbColor rgb="FF4CA36B"/>
      <rgbColor rgb="FF003300"/>
      <rgbColor rgb="FF444444"/>
      <rgbColor rgb="FF9B1C13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Projects by calculated color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Portfolio_Dashboard!C28</c:f>
              <c:strCache>
                <c:ptCount val="1"/>
                <c:pt idx="0">
                  <c:v>Green</c:v>
                </c:pt>
              </c:strCache>
            </c:strRef>
          </c:tx>
          <c:spPr>
            <a:solidFill>
              <a:srgbClr val="4ca36b"/>
            </a:solidFill>
            <a:ln w="0">
              <a:solidFill>
                <a:srgbClr val="4ca36b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Portfolio_Dashboard!$B$29:$B$32</c:f>
              <c:strCache>
                <c:ptCount val="4"/>
                <c:pt idx="0">
                  <c:v>Jul 2026</c:v>
                </c:pt>
                <c:pt idx="1">
                  <c:v>Aug 2026</c:v>
                </c:pt>
                <c:pt idx="2">
                  <c:v>Sep 2026</c:v>
                </c:pt>
                <c:pt idx="3">
                  <c:v>Oct 2026</c:v>
                </c:pt>
              </c:strCache>
            </c:strRef>
          </c:cat>
          <c:val>
            <c:numRef>
              <c:f>Portfolio_Dashboard!$C$29:$C$32</c:f>
              <c:numCache>
                <c:formatCode>General</c:formatCode>
                <c:ptCount val="4"/>
                <c:pt idx="0">
                  <c:v>7</c:v>
                </c:pt>
                <c:pt idx="1">
                  <c:v>7</c:v>
                </c:pt>
                <c:pt idx="2">
                  <c:v>4</c:v>
                </c:pt>
                <c:pt idx="3">
                  <c:v>2</c:v>
                </c:pt>
              </c:numCache>
            </c:numRef>
          </c:val>
        </c:ser>
        <c:ser>
          <c:idx val="1"/>
          <c:order val="1"/>
          <c:tx>
            <c:strRef>
              <c:f>Portfolio_Dashboard!D28</c:f>
              <c:strCache>
                <c:ptCount val="1"/>
                <c:pt idx="0">
                  <c:v>Amber</c:v>
                </c:pt>
              </c:strCache>
            </c:strRef>
          </c:tx>
          <c:spPr>
            <a:solidFill>
              <a:srgbClr val="e0a42b"/>
            </a:solidFill>
            <a:ln w="0">
              <a:solidFill>
                <a:srgbClr val="e0a42b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Portfolio_Dashboard!$B$29:$B$32</c:f>
              <c:strCache>
                <c:ptCount val="4"/>
                <c:pt idx="0">
                  <c:v>Jul 2026</c:v>
                </c:pt>
                <c:pt idx="1">
                  <c:v>Aug 2026</c:v>
                </c:pt>
                <c:pt idx="2">
                  <c:v>Sep 2026</c:v>
                </c:pt>
                <c:pt idx="3">
                  <c:v>Oct 2026</c:v>
                </c:pt>
              </c:strCache>
            </c:strRef>
          </c:cat>
          <c:val>
            <c:numRef>
              <c:f>Portfolio_Dashboard!$D$29:$D$32</c:f>
              <c:numCache>
                <c:formatCode>General</c:formatCode>
                <c:ptCount val="4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3</c:v>
                </c:pt>
              </c:numCache>
            </c:numRef>
          </c:val>
        </c:ser>
        <c:ser>
          <c:idx val="2"/>
          <c:order val="2"/>
          <c:tx>
            <c:strRef>
              <c:f>Portfolio_Dashboard!E28</c:f>
              <c:strCache>
                <c:ptCount val="1"/>
                <c:pt idx="0">
                  <c:v>Red</c:v>
                </c:pt>
              </c:strCache>
            </c:strRef>
          </c:tx>
          <c:spPr>
            <a:solidFill>
              <a:srgbClr val="d65a4e"/>
            </a:solidFill>
            <a:ln w="0">
              <a:solidFill>
                <a:srgbClr val="d65a4e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Portfolio_Dashboard!$B$29:$B$32</c:f>
              <c:strCache>
                <c:ptCount val="4"/>
                <c:pt idx="0">
                  <c:v>Jul 2026</c:v>
                </c:pt>
                <c:pt idx="1">
                  <c:v>Aug 2026</c:v>
                </c:pt>
                <c:pt idx="2">
                  <c:v>Sep 2026</c:v>
                </c:pt>
                <c:pt idx="3">
                  <c:v>Oct 2026</c:v>
                </c:pt>
              </c:strCache>
            </c:strRef>
          </c:cat>
          <c:val>
            <c:numRef>
              <c:f>Portfolio_Dashboard!$E$29:$E$32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</c:numCache>
            </c:numRef>
          </c:val>
        </c:ser>
        <c:gapWidth val="150"/>
        <c:overlap val="100"/>
        <c:axId val="74928650"/>
        <c:axId val="59682433"/>
      </c:barChart>
      <c:catAx>
        <c:axId val="74928650"/>
        <c:scaling>
          <c:orientation val="minMax"/>
        </c:scaling>
        <c:delete val="0"/>
        <c:axPos val="b"/>
        <c:numFmt formatCode="mmm\ yy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9682433"/>
        <c:crosses val="autoZero"/>
        <c:auto val="1"/>
        <c:lblAlgn val="ctr"/>
        <c:lblOffset val="100"/>
        <c:noMultiLvlLbl val="0"/>
      </c:catAx>
      <c:valAx>
        <c:axId val="5968243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92865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25</xdr:row>
      <xdr:rowOff>131040</xdr:rowOff>
    </xdr:from>
    <xdr:to>
      <xdr:col>11</xdr:col>
      <xdr:colOff>654120</xdr:colOff>
      <xdr:row>37</xdr:row>
      <xdr:rowOff>174240</xdr:rowOff>
    </xdr:to>
    <xdr:graphicFrame>
      <xdr:nvGraphicFramePr>
        <xdr:cNvPr id="0" name="Chart 1"/>
        <xdr:cNvGraphicFramePr/>
      </xdr:nvGraphicFramePr>
      <xdr:xfrm>
        <a:off x="4933800" y="6286680"/>
        <a:ext cx="431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6B7F"/>
    <pageSetUpPr fitToPage="true"/>
  </sheetPr>
  <dimension ref="B2:D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48"/>
    <col collapsed="false" customWidth="true" hidden="false" outlineLevel="0" max="4" min="4" style="0" width="58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45" hidden="false" customHeight="true" outlineLevel="0" collapsed="false">
      <c r="B6" s="4" t="s">
        <v>3</v>
      </c>
      <c r="C6" s="4"/>
      <c r="D6" s="4"/>
    </row>
    <row r="7" customFormat="false" ht="30" hidden="false" customHeight="true" outlineLevel="0" collapsed="false">
      <c r="B7" s="4" t="s">
        <v>4</v>
      </c>
      <c r="C7" s="4"/>
      <c r="D7" s="4"/>
    </row>
    <row r="9" customFormat="false" ht="15" hidden="false" customHeight="false" outlineLevel="0" collapsed="false">
      <c r="B9" s="3" t="s">
        <v>5</v>
      </c>
    </row>
    <row r="10" customFormat="false" ht="30" hidden="false" customHeight="true" outlineLevel="0" collapsed="false">
      <c r="B10" s="4" t="s">
        <v>6</v>
      </c>
      <c r="C10" s="4"/>
      <c r="D10" s="4"/>
    </row>
    <row r="11" customFormat="false" ht="15" hidden="false" customHeight="false" outlineLevel="0" collapsed="false">
      <c r="B11" s="5" t="s">
        <v>7</v>
      </c>
      <c r="C11" s="5" t="s">
        <v>8</v>
      </c>
      <c r="D11" s="5" t="s">
        <v>9</v>
      </c>
    </row>
    <row r="12" customFormat="false" ht="33.75" hidden="false" customHeight="true" outlineLevel="0" collapsed="false">
      <c r="B12" s="6" t="s">
        <v>10</v>
      </c>
      <c r="C12" s="7" t="s">
        <v>11</v>
      </c>
      <c r="D12" s="7" t="s">
        <v>12</v>
      </c>
    </row>
    <row r="13" customFormat="false" ht="63.75" hidden="false" customHeight="true" outlineLevel="0" collapsed="false">
      <c r="B13" s="6" t="s">
        <v>13</v>
      </c>
      <c r="C13" s="7" t="s">
        <v>14</v>
      </c>
      <c r="D13" s="7" t="s">
        <v>15</v>
      </c>
    </row>
    <row r="14" customFormat="false" ht="33.75" hidden="false" customHeight="true" outlineLevel="0" collapsed="false">
      <c r="B14" s="6" t="s">
        <v>16</v>
      </c>
      <c r="C14" s="7" t="s">
        <v>17</v>
      </c>
      <c r="D14" s="7" t="s">
        <v>18</v>
      </c>
    </row>
    <row r="15" customFormat="false" ht="30" hidden="false" customHeight="true" outlineLevel="0" collapsed="false">
      <c r="B15" s="4" t="s">
        <v>19</v>
      </c>
      <c r="C15" s="4"/>
      <c r="D15" s="4"/>
    </row>
    <row r="17" customFormat="false" ht="15" hidden="false" customHeight="false" outlineLevel="0" collapsed="false">
      <c r="B17" s="3" t="s">
        <v>20</v>
      </c>
    </row>
    <row r="18" customFormat="false" ht="30" hidden="false" customHeight="true" outlineLevel="0" collapsed="false">
      <c r="B18" s="8" t="s">
        <v>21</v>
      </c>
      <c r="C18" s="4" t="s">
        <v>22</v>
      </c>
      <c r="D18" s="4"/>
    </row>
    <row r="19" customFormat="false" ht="15.75" hidden="false" customHeight="true" outlineLevel="0" collapsed="false">
      <c r="B19" s="8" t="s">
        <v>23</v>
      </c>
      <c r="C19" s="4" t="s">
        <v>24</v>
      </c>
      <c r="D19" s="4"/>
    </row>
    <row r="20" customFormat="false" ht="30" hidden="false" customHeight="true" outlineLevel="0" collapsed="false">
      <c r="B20" s="8" t="s">
        <v>25</v>
      </c>
      <c r="C20" s="4" t="s">
        <v>26</v>
      </c>
      <c r="D20" s="4"/>
    </row>
    <row r="21" customFormat="false" ht="15.75" hidden="false" customHeight="true" outlineLevel="0" collapsed="false">
      <c r="B21" s="8" t="s">
        <v>27</v>
      </c>
      <c r="C21" s="4" t="s">
        <v>28</v>
      </c>
      <c r="D21" s="4"/>
    </row>
    <row r="22" customFormat="false" ht="15.75" hidden="false" customHeight="true" outlineLevel="0" collapsed="false">
      <c r="B22" s="8" t="s">
        <v>29</v>
      </c>
      <c r="C22" s="4" t="s">
        <v>30</v>
      </c>
      <c r="D22" s="4"/>
    </row>
    <row r="23" customFormat="false" ht="15.75" hidden="false" customHeight="true" outlineLevel="0" collapsed="false">
      <c r="B23" s="8" t="s">
        <v>31</v>
      </c>
      <c r="C23" s="4" t="s">
        <v>32</v>
      </c>
      <c r="D23" s="4"/>
    </row>
    <row r="25" customFormat="false" ht="15" hidden="false" customHeight="false" outlineLevel="0" collapsed="false">
      <c r="B25" s="3" t="s">
        <v>33</v>
      </c>
    </row>
    <row r="26" customFormat="false" ht="15.75" hidden="false" customHeight="true" outlineLevel="0" collapsed="false">
      <c r="B26" s="4" t="s">
        <v>34</v>
      </c>
      <c r="C26" s="4"/>
      <c r="D26" s="4"/>
    </row>
    <row r="27" customFormat="false" ht="30" hidden="false" customHeight="true" outlineLevel="0" collapsed="false">
      <c r="B27" s="4" t="s">
        <v>35</v>
      </c>
      <c r="C27" s="4"/>
      <c r="D27" s="4"/>
    </row>
    <row r="28" customFormat="false" ht="15.75" hidden="false" customHeight="true" outlineLevel="0" collapsed="false">
      <c r="B28" s="4" t="s">
        <v>36</v>
      </c>
      <c r="C28" s="4"/>
      <c r="D28" s="4"/>
    </row>
    <row r="29" customFormat="false" ht="15.75" hidden="false" customHeight="true" outlineLevel="0" collapsed="false">
      <c r="B29" s="4" t="s">
        <v>37</v>
      </c>
      <c r="C29" s="4"/>
      <c r="D29" s="4"/>
    </row>
    <row r="31" customFormat="false" ht="15" hidden="false" customHeight="false" outlineLevel="0" collapsed="false">
      <c r="B31" s="3" t="s">
        <v>38</v>
      </c>
    </row>
    <row r="32" customFormat="false" ht="30" hidden="false" customHeight="true" outlineLevel="0" collapsed="false">
      <c r="B32" s="4" t="s">
        <v>39</v>
      </c>
      <c r="C32" s="4"/>
      <c r="D32" s="4"/>
    </row>
    <row r="33" customFormat="false" ht="30" hidden="false" customHeight="true" outlineLevel="0" collapsed="false">
      <c r="B33" s="4" t="s">
        <v>40</v>
      </c>
      <c r="C33" s="4"/>
      <c r="D33" s="4"/>
    </row>
    <row r="34" customFormat="false" ht="30" hidden="false" customHeight="true" outlineLevel="0" collapsed="false">
      <c r="B34" s="4" t="s">
        <v>41</v>
      </c>
      <c r="C34" s="4"/>
      <c r="D34" s="4"/>
    </row>
    <row r="35" customFormat="false" ht="30" hidden="false" customHeight="true" outlineLevel="0" collapsed="false">
      <c r="B35" s="4" t="s">
        <v>42</v>
      </c>
      <c r="C35" s="4"/>
      <c r="D35" s="4"/>
    </row>
    <row r="36" customFormat="false" ht="15.75" hidden="false" customHeight="true" outlineLevel="0" collapsed="false">
      <c r="B36" s="4" t="s">
        <v>43</v>
      </c>
      <c r="C36" s="4"/>
      <c r="D36" s="4"/>
    </row>
  </sheetData>
  <mergeCells count="19">
    <mergeCell ref="B6:D6"/>
    <mergeCell ref="B7:D7"/>
    <mergeCell ref="B10:D10"/>
    <mergeCell ref="B15:D15"/>
    <mergeCell ref="C18:D18"/>
    <mergeCell ref="C19:D19"/>
    <mergeCell ref="C20:D20"/>
    <mergeCell ref="C21:D21"/>
    <mergeCell ref="C22:D22"/>
    <mergeCell ref="C23:D23"/>
    <mergeCell ref="B26:D26"/>
    <mergeCell ref="B27:D27"/>
    <mergeCell ref="B28:D28"/>
    <mergeCell ref="B29:D29"/>
    <mergeCell ref="B32:D32"/>
    <mergeCell ref="B33:D33"/>
    <mergeCell ref="B34:D34"/>
    <mergeCell ref="B35:D35"/>
    <mergeCell ref="B36:D36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true"/>
  </sheetPr>
  <dimension ref="A1:R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9"/>
    <col collapsed="false" customWidth="true" hidden="false" outlineLevel="0" max="3" min="3" style="0" width="28"/>
    <col collapsed="false" customWidth="true" hidden="false" outlineLevel="0" max="4" min="4" style="0" width="11"/>
    <col collapsed="false" customWidth="true" hidden="false" outlineLevel="0" max="6" min="5" style="0" width="10"/>
    <col collapsed="false" customWidth="true" hidden="false" outlineLevel="0" max="7" min="7" style="0" width="11"/>
    <col collapsed="false" customWidth="true" hidden="false" outlineLevel="0" max="10" min="8" style="0" width="10"/>
    <col collapsed="false" customWidth="true" hidden="false" outlineLevel="0" max="11" min="11" style="0" width="11"/>
    <col collapsed="false" customWidth="true" hidden="false" outlineLevel="0" max="12" min="12" style="0" width="24"/>
    <col collapsed="false" customWidth="true" hidden="true" outlineLevel="0" max="18" min="17" style="0" width="13"/>
  </cols>
  <sheetData>
    <row r="1" customFormat="false" ht="19.7" hidden="false" customHeight="false" outlineLevel="0" collapsed="false">
      <c r="A1" s="9" t="s">
        <v>44</v>
      </c>
    </row>
    <row r="2" customFormat="false" ht="15" hidden="false" customHeight="false" outlineLevel="0" collapsed="false">
      <c r="A2" s="2" t="s">
        <v>45</v>
      </c>
    </row>
    <row r="4" customFormat="false" ht="15" hidden="false" customHeight="false" outlineLevel="0" collapsed="false">
      <c r="B4" s="10" t="s">
        <v>46</v>
      </c>
      <c r="C4" s="11" t="n">
        <v>46326</v>
      </c>
      <c r="E4" s="12" t="n">
        <f aca="false">YEAR(RptMonth)*100+MONTH(RptMonth)</f>
        <v>202610</v>
      </c>
    </row>
    <row r="6" customFormat="false" ht="30" hidden="false" customHeight="true" outlineLevel="0" collapsed="false">
      <c r="B6" s="13" t="s">
        <v>47</v>
      </c>
      <c r="C6" s="13"/>
      <c r="D6" s="13" t="s">
        <v>48</v>
      </c>
      <c r="E6" s="13"/>
      <c r="F6" s="13" t="s">
        <v>49</v>
      </c>
      <c r="G6" s="13"/>
      <c r="H6" s="13" t="s">
        <v>50</v>
      </c>
      <c r="I6" s="13"/>
    </row>
    <row r="7" customFormat="false" ht="30" hidden="false" customHeight="true" outlineLevel="0" collapsed="false">
      <c r="B7" s="14" t="n">
        <f aca="false">COUNTIF(Project_Register!$F$6:$F$40,"Active")</f>
        <v>8</v>
      </c>
      <c r="C7" s="14"/>
      <c r="D7" s="15" t="str">
        <f aca="false">COUNTIFS(Monthly_Updates!$A$6:$A$400,RptMonth,Monthly_Updates!$O$6:$O$400,"Green")&amp;" / "&amp;COUNTIFS(Monthly_Updates!$A$6:$A$400,RptMonth,Monthly_Updates!$O$6:$O$400,"Amber")&amp;" / "&amp;COUNTIFS(Monthly_Updates!$A$6:$A$400,RptMonth,Monthly_Updates!$O$6:$O$400,"Red")</f>
        <v>2 / 3 / 2</v>
      </c>
      <c r="E7" s="15"/>
      <c r="F7" s="14" t="n">
        <f aca="false">COUNTIFS(Monthly_Updates!$A$6:$A$400,RptMonth,Monthly_Updates!$P$6:$P$400,"Watermelon")</f>
        <v>2</v>
      </c>
      <c r="G7" s="14"/>
      <c r="H7" s="15" t="str">
        <f aca="false">COUNTIFS(Monthly_Updates!$A$6:$A$400,RptMonth,Monthly_Updates!$Q$6:$Q$400,"Missing")&amp;" / "&amp;COUNTIFS(Monthly_Updates!$A$6:$A$400,RptMonth,Monthly_Updates!$Q$6:$Q$400,"Late")</f>
        <v>1 / 1</v>
      </c>
      <c r="I7" s="15"/>
    </row>
    <row r="10" customFormat="false" ht="30" hidden="false" customHeight="true" outlineLevel="0" collapsed="false">
      <c r="B10" s="13" t="s">
        <v>51</v>
      </c>
      <c r="C10" s="13"/>
      <c r="D10" s="13" t="s">
        <v>52</v>
      </c>
      <c r="E10" s="13"/>
      <c r="F10" s="13" t="s">
        <v>53</v>
      </c>
      <c r="G10" s="13"/>
      <c r="H10" s="13" t="s">
        <v>54</v>
      </c>
      <c r="I10" s="13"/>
    </row>
    <row r="11" customFormat="false" ht="30" hidden="false" customHeight="true" outlineLevel="0" collapsed="false">
      <c r="B11" s="16" t="n">
        <f aca="false">SUMIFS(Project_Register!$I$6:$I$40,Project_Register!$F$6:$F$40,"Active")</f>
        <v>674000</v>
      </c>
      <c r="C11" s="16"/>
      <c r="D11" s="16" t="n">
        <f aca="false">SUMIFS(R15:R24,Q15:Q24,"Active")</f>
        <v>687000</v>
      </c>
      <c r="E11" s="16"/>
      <c r="F11" s="14" t="n">
        <f aca="false">COUNTIFS(Monthly_Updates!$A$6:$A$400,RptMonth,Monthly_Updates!$N$6:$N$400,"&gt;"&amp;Slip_Red)</f>
        <v>1</v>
      </c>
      <c r="G11" s="14"/>
      <c r="H11" s="14" t="n">
        <f aca="false">COUNTIF(Resource_Load!$M$7:$M$14,"Overbooked")</f>
        <v>2</v>
      </c>
      <c r="I11" s="14"/>
    </row>
    <row r="13" customFormat="false" ht="15" hidden="false" customHeight="false" outlineLevel="0" collapsed="false">
      <c r="B13" s="17" t="s">
        <v>55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customFormat="false" ht="30" hidden="false" customHeight="true" outlineLevel="0" collapsed="false">
      <c r="B14" s="19" t="s">
        <v>56</v>
      </c>
      <c r="C14" s="19" t="s">
        <v>57</v>
      </c>
      <c r="D14" s="19" t="s">
        <v>58</v>
      </c>
      <c r="E14" s="19" t="s">
        <v>59</v>
      </c>
      <c r="F14" s="19" t="s">
        <v>60</v>
      </c>
      <c r="G14" s="19" t="s">
        <v>61</v>
      </c>
      <c r="H14" s="19" t="s">
        <v>62</v>
      </c>
      <c r="I14" s="19" t="s">
        <v>63</v>
      </c>
      <c r="J14" s="19" t="s">
        <v>64</v>
      </c>
      <c r="K14" s="19" t="s">
        <v>65</v>
      </c>
      <c r="L14" s="19" t="s">
        <v>66</v>
      </c>
    </row>
    <row r="15" customFormat="false" ht="18" hidden="false" customHeight="true" outlineLevel="0" collapsed="false">
      <c r="B15" s="20" t="str">
        <f aca="false">Project_Register!A6</f>
        <v>P-201</v>
      </c>
      <c r="C15" s="7" t="str">
        <f aca="false">Project_Register!B6</f>
        <v>CRM Data Migration</v>
      </c>
      <c r="D15" s="20" t="str">
        <f aca="false">Project_Register!D6</f>
        <v>D. Carter</v>
      </c>
      <c r="E15" s="21" t="n">
        <f aca="false">IFERROR(IF(INDEX(Monthly_Updates!$D$6:$D$400,MATCH(B15&amp;"|"&amp;$E$4,Monthly_Updates!$S$6:$S$400,0))="","—",INDEX(Monthly_Updates!$D$6:$D$400,MATCH(B15&amp;"|"&amp;$E$4,Monthly_Updates!$S$6:$S$400,0))),"—")</f>
        <v>0.52</v>
      </c>
      <c r="F15" s="21" t="n">
        <f aca="false">IFERROR(IF(INDEX(Monthly_Updates!$K$6:$K$400,MATCH(B15&amp;"|"&amp;$E$4,Monthly_Updates!$S$6:$S$400,0))="","—",INDEX(Monthly_Updates!$K$6:$K$400,MATCH(B15&amp;"|"&amp;$E$4,Monthly_Updates!$S$6:$S$400,0))),"—")</f>
        <v>0.76</v>
      </c>
      <c r="G15" s="22" t="n">
        <f aca="false">IFERROR(IF(INDEX(Monthly_Updates!$L$6:$L$400,MATCH(B15&amp;"|"&amp;$E$4,Monthly_Updates!$S$6:$S$400,0))="","—",INDEX(Monthly_Updates!$L$6:$L$400,MATCH(B15&amp;"|"&amp;$E$4,Monthly_Updates!$S$6:$S$400,0))),"—")</f>
        <v>-24</v>
      </c>
      <c r="H15" s="21" t="n">
        <f aca="false">IFERROR(IF(INDEX(Monthly_Updates!$M$6:$M$400,MATCH(B15&amp;"|"&amp;$E$4,Monthly_Updates!$S$6:$S$400,0))="","—",INDEX(Monthly_Updates!$M$6:$M$400,MATCH(B15&amp;"|"&amp;$E$4,Monthly_Updates!$S$6:$S$400,0))),"—")</f>
        <v>1.03333333333333</v>
      </c>
      <c r="I15" s="22" t="n">
        <f aca="false">IFERROR(IF(INDEX(Monthly_Updates!$N$6:$N$400,MATCH(B15&amp;"|"&amp;$E$4,Monthly_Updates!$S$6:$S$400,0))="","—",INDEX(Monthly_Updates!$N$6:$N$400,MATCH(B15&amp;"|"&amp;$E$4,Monthly_Updates!$S$6:$S$400,0))),"—")</f>
        <v>0</v>
      </c>
      <c r="J15" s="23" t="str">
        <f aca="false">IFERROR(IF(INDEX(Monthly_Updates!$H$6:$H$400,MATCH(B15&amp;"|"&amp;$E$4,Monthly_Updates!$S$6:$S$400,0))="","—",INDEX(Monthly_Updates!$H$6:$H$400,MATCH(B15&amp;"|"&amp;$E$4,Monthly_Updates!$S$6:$S$400,0))),"—")</f>
        <v>Green</v>
      </c>
      <c r="K15" s="23" t="str">
        <f aca="false">IFERROR(INDEX(Monthly_Updates!$O$6:$O$400,MATCH(B15&amp;"|"&amp;$E$4,Monthly_Updates!$S$6:$S$400,0)),IF(Q15="Active","No update",Q15))</f>
        <v>Red</v>
      </c>
      <c r="L15" s="23" t="str">
        <f aca="false">IFERROR(MID(IF(INDEX(Monthly_Updates!$P$6:$P$400,MATCH(B15&amp;"|"&amp;$E$4,Monthly_Updates!$S$6:$S$400,0))&lt;&gt;""," · "&amp;INDEX(Monthly_Updates!$P$6:$P$400,MATCH(B15&amp;"|"&amp;$E$4,Monthly_Updates!$S$6:$S$400,0)),"")&amp;IF(INDEX(Monthly_Updates!$Q$6:$Q$400,MATCH(B15&amp;"|"&amp;$E$4,Monthly_Updates!$S$6:$S$400,0))&lt;&gt;"On time"," · "&amp;INDEX(Monthly_Updates!$Q$6:$Q$400,MATCH(B15&amp;"|"&amp;$E$4,Monthly_Updates!$S$6:$S$400,0))&amp;" update","")&amp;IF(INDEX(Monthly_Updates!$R$6:$R$400,MATCH(B15&amp;"|"&amp;$E$4,Monthly_Updates!$S$6:$S$400,0))&lt;&gt;""," · % dropped",""),4,200),"")</f>
        <v>Watermelon</v>
      </c>
      <c r="Q15" s="0" t="str">
        <f aca="false">Project_Register!F6</f>
        <v>Active</v>
      </c>
      <c r="R15" s="24" t="n">
        <f aca="false">IFERROR(IF(INDEX(Monthly_Updates!$F$6:$F$400,MATCH(B15&amp;"|"&amp;$E$4,Monthly_Updates!$S$6:$S$400,0))="",Project_Register!I6,INDEX(Monthly_Updates!$F$6:$F$400,MATCH(B15&amp;"|"&amp;$E$4,Monthly_Updates!$S$6:$S$400,0))),Project_Register!I6)</f>
        <v>186000</v>
      </c>
    </row>
    <row r="16" customFormat="false" ht="18" hidden="false" customHeight="true" outlineLevel="0" collapsed="false">
      <c r="B16" s="20" t="str">
        <f aca="false">Project_Register!A7</f>
        <v>P-202</v>
      </c>
      <c r="C16" s="7" t="str">
        <f aca="false">Project_Register!B7</f>
        <v>Warehouse Label Printer Rollout</v>
      </c>
      <c r="D16" s="20" t="str">
        <f aca="false">Project_Register!D7</f>
        <v>S. Nguyen</v>
      </c>
      <c r="E16" s="21" t="n">
        <f aca="false">IFERROR(IF(INDEX(Monthly_Updates!$D$6:$D$400,MATCH(B16&amp;"|"&amp;$E$4,Monthly_Updates!$S$6:$S$400,0))="","—",INDEX(Monthly_Updates!$D$6:$D$400,MATCH(B16&amp;"|"&amp;$E$4,Monthly_Updates!$S$6:$S$400,0))),"—")</f>
        <v>0.84</v>
      </c>
      <c r="F16" s="21" t="n">
        <f aca="false">IFERROR(IF(INDEX(Monthly_Updates!$K$6:$K$400,MATCH(B16&amp;"|"&amp;$E$4,Monthly_Updates!$S$6:$S$400,0))="","—",INDEX(Monthly_Updates!$K$6:$K$400,MATCH(B16&amp;"|"&amp;$E$4,Monthly_Updates!$S$6:$S$400,0))),"—")</f>
        <v>0.854014598540146</v>
      </c>
      <c r="G16" s="22" t="n">
        <f aca="false">IFERROR(IF(INDEX(Monthly_Updates!$L$6:$L$400,MATCH(B16&amp;"|"&amp;$E$4,Monthly_Updates!$S$6:$S$400,0))="","—",INDEX(Monthly_Updates!$L$6:$L$400,MATCH(B16&amp;"|"&amp;$E$4,Monthly_Updates!$S$6:$S$400,0))),"—")</f>
        <v>-1</v>
      </c>
      <c r="H16" s="21" t="n">
        <f aca="false">IFERROR(IF(INDEX(Monthly_Updates!$M$6:$M$400,MATCH(B16&amp;"|"&amp;$E$4,Monthly_Updates!$S$6:$S$400,0))="","—",INDEX(Monthly_Updates!$M$6:$M$400,MATCH(B16&amp;"|"&amp;$E$4,Monthly_Updates!$S$6:$S$400,0))),"—")</f>
        <v>0.976190476190476</v>
      </c>
      <c r="I16" s="22" t="n">
        <f aca="false">IFERROR(IF(INDEX(Monthly_Updates!$N$6:$N$400,MATCH(B16&amp;"|"&amp;$E$4,Monthly_Updates!$S$6:$S$400,0))="","—",INDEX(Monthly_Updates!$N$6:$N$400,MATCH(B16&amp;"|"&amp;$E$4,Monthly_Updates!$S$6:$S$400,0))),"—")</f>
        <v>0</v>
      </c>
      <c r="J16" s="23" t="str">
        <f aca="false">IFERROR(IF(INDEX(Monthly_Updates!$H$6:$H$400,MATCH(B16&amp;"|"&amp;$E$4,Monthly_Updates!$S$6:$S$400,0))="","—",INDEX(Monthly_Updates!$H$6:$H$400,MATCH(B16&amp;"|"&amp;$E$4,Monthly_Updates!$S$6:$S$400,0))),"—")</f>
        <v>Green</v>
      </c>
      <c r="K16" s="23" t="str">
        <f aca="false">IFERROR(INDEX(Monthly_Updates!$O$6:$O$400,MATCH(B16&amp;"|"&amp;$E$4,Monthly_Updates!$S$6:$S$400,0)),IF(Q16="Active","No update",Q16))</f>
        <v>Green</v>
      </c>
      <c r="L16" s="23" t="str">
        <f aca="false">IFERROR(MID(IF(INDEX(Monthly_Updates!$P$6:$P$400,MATCH(B16&amp;"|"&amp;$E$4,Monthly_Updates!$S$6:$S$400,0))&lt;&gt;""," · "&amp;INDEX(Monthly_Updates!$P$6:$P$400,MATCH(B16&amp;"|"&amp;$E$4,Monthly_Updates!$S$6:$S$400,0)),"")&amp;IF(INDEX(Monthly_Updates!$Q$6:$Q$400,MATCH(B16&amp;"|"&amp;$E$4,Monthly_Updates!$S$6:$S$400,0))&lt;&gt;"On time"," · "&amp;INDEX(Monthly_Updates!$Q$6:$Q$400,MATCH(B16&amp;"|"&amp;$E$4,Monthly_Updates!$S$6:$S$400,0))&amp;" update","")&amp;IF(INDEX(Monthly_Updates!$R$6:$R$400,MATCH(B16&amp;"|"&amp;$E$4,Monthly_Updates!$S$6:$S$400,0))&lt;&gt;""," · % dropped",""),4,200),"")</f>
        <v/>
      </c>
      <c r="Q16" s="0" t="str">
        <f aca="false">Project_Register!F7</f>
        <v>Active</v>
      </c>
      <c r="R16" s="24" t="n">
        <f aca="false">IFERROR(IF(INDEX(Monthly_Updates!$F$6:$F$400,MATCH(B16&amp;"|"&amp;$E$4,Monthly_Updates!$S$6:$S$400,0))="",Project_Register!I7,INDEX(Monthly_Updates!$F$6:$F$400,MATCH(B16&amp;"|"&amp;$E$4,Monthly_Updates!$S$6:$S$400,0))),Project_Register!I7)</f>
        <v>41000</v>
      </c>
    </row>
    <row r="17" customFormat="false" ht="18" hidden="false" customHeight="true" outlineLevel="0" collapsed="false">
      <c r="B17" s="20" t="str">
        <f aca="false">Project_Register!A8</f>
        <v>P-203</v>
      </c>
      <c r="C17" s="7" t="str">
        <f aca="false">Project_Register!B8</f>
        <v>HR Onboarding Portal</v>
      </c>
      <c r="D17" s="20" t="str">
        <f aca="false">Project_Register!D8</f>
        <v>D. Carter</v>
      </c>
      <c r="E17" s="21" t="n">
        <f aca="false">IFERROR(IF(INDEX(Monthly_Updates!$D$6:$D$400,MATCH(B17&amp;"|"&amp;$E$4,Monthly_Updates!$S$6:$S$400,0))="","—",INDEX(Monthly_Updates!$D$6:$D$400,MATCH(B17&amp;"|"&amp;$E$4,Monthly_Updates!$S$6:$S$400,0))),"—")</f>
        <v>0.78</v>
      </c>
      <c r="F17" s="21" t="n">
        <f aca="false">IFERROR(IF(INDEX(Monthly_Updates!$K$6:$K$400,MATCH(B17&amp;"|"&amp;$E$4,Monthly_Updates!$S$6:$S$400,0))="","—",INDEX(Monthly_Updates!$K$6:$K$400,MATCH(B17&amp;"|"&amp;$E$4,Monthly_Updates!$S$6:$S$400,0))),"—")</f>
        <v>0.81447963800905</v>
      </c>
      <c r="G17" s="22" t="n">
        <f aca="false">IFERROR(IF(INDEX(Monthly_Updates!$L$6:$L$400,MATCH(B17&amp;"|"&amp;$E$4,Monthly_Updates!$S$6:$S$400,0))="","—",INDEX(Monthly_Updates!$L$6:$L$400,MATCH(B17&amp;"|"&amp;$E$4,Monthly_Updates!$S$6:$S$400,0))),"—")</f>
        <v>-3</v>
      </c>
      <c r="H17" s="21" t="n">
        <f aca="false">IFERROR(IF(INDEX(Monthly_Updates!$M$6:$M$400,MATCH(B17&amp;"|"&amp;$E$4,Monthly_Updates!$S$6:$S$400,0))="","—",INDEX(Monthly_Updates!$M$6:$M$400,MATCH(B17&amp;"|"&amp;$E$4,Monthly_Updates!$S$6:$S$400,0))),"—")</f>
        <v>1.04210526315789</v>
      </c>
      <c r="I17" s="22" t="n">
        <f aca="false">IFERROR(IF(INDEX(Monthly_Updates!$N$6:$N$400,MATCH(B17&amp;"|"&amp;$E$4,Monthly_Updates!$S$6:$S$400,0))="","—",INDEX(Monthly_Updates!$N$6:$N$400,MATCH(B17&amp;"|"&amp;$E$4,Monthly_Updates!$S$6:$S$400,0))),"—")</f>
        <v>0</v>
      </c>
      <c r="J17" s="23" t="str">
        <f aca="false">IFERROR(IF(INDEX(Monthly_Updates!$H$6:$H$400,MATCH(B17&amp;"|"&amp;$E$4,Monthly_Updates!$S$6:$S$400,0))="","—",INDEX(Monthly_Updates!$H$6:$H$400,MATCH(B17&amp;"|"&amp;$E$4,Monthly_Updates!$S$6:$S$400,0))),"—")</f>
        <v>Amber</v>
      </c>
      <c r="K17" s="23" t="str">
        <f aca="false">IFERROR(INDEX(Monthly_Updates!$O$6:$O$400,MATCH(B17&amp;"|"&amp;$E$4,Monthly_Updates!$S$6:$S$400,0)),IF(Q17="Active","No update",Q17))</f>
        <v>Amber</v>
      </c>
      <c r="L17" s="23" t="str">
        <f aca="false">IFERROR(MID(IF(INDEX(Monthly_Updates!$P$6:$P$400,MATCH(B17&amp;"|"&amp;$E$4,Monthly_Updates!$S$6:$S$400,0))&lt;&gt;""," · "&amp;INDEX(Monthly_Updates!$P$6:$P$400,MATCH(B17&amp;"|"&amp;$E$4,Monthly_Updates!$S$6:$S$400,0)),"")&amp;IF(INDEX(Monthly_Updates!$Q$6:$Q$400,MATCH(B17&amp;"|"&amp;$E$4,Monthly_Updates!$S$6:$S$400,0))&lt;&gt;"On time"," · "&amp;INDEX(Monthly_Updates!$Q$6:$Q$400,MATCH(B17&amp;"|"&amp;$E$4,Monthly_Updates!$S$6:$S$400,0))&amp;" update","")&amp;IF(INDEX(Monthly_Updates!$R$6:$R$400,MATCH(B17&amp;"|"&amp;$E$4,Monthly_Updates!$S$6:$S$400,0))&lt;&gt;""," · % dropped",""),4,200),"")</f>
        <v/>
      </c>
      <c r="Q17" s="0" t="str">
        <f aca="false">Project_Register!F8</f>
        <v>Active</v>
      </c>
      <c r="R17" s="24" t="n">
        <f aca="false">IFERROR(IF(INDEX(Monthly_Updates!$F$6:$F$400,MATCH(B17&amp;"|"&amp;$E$4,Monthly_Updates!$S$6:$S$400,0))="",Project_Register!I8,INDEX(Monthly_Updates!$F$6:$F$400,MATCH(B17&amp;"|"&amp;$E$4,Monthly_Updates!$S$6:$S$400,0))),Project_Register!I8)</f>
        <v>99000</v>
      </c>
    </row>
    <row r="18" customFormat="false" ht="18" hidden="false" customHeight="true" outlineLevel="0" collapsed="false">
      <c r="B18" s="20" t="str">
        <f aca="false">Project_Register!A9</f>
        <v>P-204</v>
      </c>
      <c r="C18" s="7" t="str">
        <f aca="false">Project_Register!B9</f>
        <v>HQ Lobby Refresh</v>
      </c>
      <c r="D18" s="20" t="str">
        <f aca="false">Project_Register!D9</f>
        <v>R. Patel</v>
      </c>
      <c r="E18" s="21" t="str">
        <f aca="false">IFERROR(IF(INDEX(Monthly_Updates!$D$6:$D$400,MATCH(B18&amp;"|"&amp;$E$4,Monthly_Updates!$S$6:$S$400,0))="","—",INDEX(Monthly_Updates!$D$6:$D$400,MATCH(B18&amp;"|"&amp;$E$4,Monthly_Updates!$S$6:$S$400,0))),"—")</f>
        <v>—</v>
      </c>
      <c r="F18" s="21" t="str">
        <f aca="false">IFERROR(IF(INDEX(Monthly_Updates!$K$6:$K$400,MATCH(B18&amp;"|"&amp;$E$4,Monthly_Updates!$S$6:$S$400,0))="","—",INDEX(Monthly_Updates!$K$6:$K$400,MATCH(B18&amp;"|"&amp;$E$4,Monthly_Updates!$S$6:$S$400,0))),"—")</f>
        <v>—</v>
      </c>
      <c r="G18" s="22" t="str">
        <f aca="false">IFERROR(IF(INDEX(Monthly_Updates!$L$6:$L$400,MATCH(B18&amp;"|"&amp;$E$4,Monthly_Updates!$S$6:$S$400,0))="","—",INDEX(Monthly_Updates!$L$6:$L$400,MATCH(B18&amp;"|"&amp;$E$4,Monthly_Updates!$S$6:$S$400,0))),"—")</f>
        <v>—</v>
      </c>
      <c r="H18" s="21" t="str">
        <f aca="false">IFERROR(IF(INDEX(Monthly_Updates!$M$6:$M$400,MATCH(B18&amp;"|"&amp;$E$4,Monthly_Updates!$S$6:$S$400,0))="","—",INDEX(Monthly_Updates!$M$6:$M$400,MATCH(B18&amp;"|"&amp;$E$4,Monthly_Updates!$S$6:$S$400,0))),"—")</f>
        <v>—</v>
      </c>
      <c r="I18" s="22" t="str">
        <f aca="false">IFERROR(IF(INDEX(Monthly_Updates!$N$6:$N$400,MATCH(B18&amp;"|"&amp;$E$4,Monthly_Updates!$S$6:$S$400,0))="","—",INDEX(Monthly_Updates!$N$6:$N$400,MATCH(B18&amp;"|"&amp;$E$4,Monthly_Updates!$S$6:$S$400,0))),"—")</f>
        <v>—</v>
      </c>
      <c r="J18" s="23" t="str">
        <f aca="false">IFERROR(IF(INDEX(Monthly_Updates!$H$6:$H$400,MATCH(B18&amp;"|"&amp;$E$4,Monthly_Updates!$S$6:$S$400,0))="","—",INDEX(Monthly_Updates!$H$6:$H$400,MATCH(B18&amp;"|"&amp;$E$4,Monthly_Updates!$S$6:$S$400,0))),"—")</f>
        <v>—</v>
      </c>
      <c r="K18" s="23" t="str">
        <f aca="false">IFERROR(INDEX(Monthly_Updates!$O$6:$O$400,MATCH(B18&amp;"|"&amp;$E$4,Monthly_Updates!$S$6:$S$400,0)),IF(Q18="Active","No update",Q18))</f>
        <v>Closed</v>
      </c>
      <c r="L18" s="23" t="str">
        <f aca="false">IFERROR(MID(IF(INDEX(Monthly_Updates!$P$6:$P$400,MATCH(B18&amp;"|"&amp;$E$4,Monthly_Updates!$S$6:$S$400,0))&lt;&gt;""," · "&amp;INDEX(Monthly_Updates!$P$6:$P$400,MATCH(B18&amp;"|"&amp;$E$4,Monthly_Updates!$S$6:$S$400,0)),"")&amp;IF(INDEX(Monthly_Updates!$Q$6:$Q$400,MATCH(B18&amp;"|"&amp;$E$4,Monthly_Updates!$S$6:$S$400,0))&lt;&gt;"On time"," · "&amp;INDEX(Monthly_Updates!$Q$6:$Q$400,MATCH(B18&amp;"|"&amp;$E$4,Monthly_Updates!$S$6:$S$400,0))&amp;" update","")&amp;IF(INDEX(Monthly_Updates!$R$6:$R$400,MATCH(B18&amp;"|"&amp;$E$4,Monthly_Updates!$S$6:$S$400,0))&lt;&gt;""," · % dropped",""),4,200),"")</f>
        <v/>
      </c>
      <c r="Q18" s="0" t="str">
        <f aca="false">Project_Register!F9</f>
        <v>Closed</v>
      </c>
      <c r="R18" s="24" t="n">
        <f aca="false">IFERROR(IF(INDEX(Monthly_Updates!$F$6:$F$400,MATCH(B18&amp;"|"&amp;$E$4,Monthly_Updates!$S$6:$S$400,0))="",Project_Register!I9,INDEX(Monthly_Updates!$F$6:$F$400,MATCH(B18&amp;"|"&amp;$E$4,Monthly_Updates!$S$6:$S$400,0))),Project_Register!I9)</f>
        <v>60000</v>
      </c>
    </row>
    <row r="19" customFormat="false" ht="18" hidden="false" customHeight="true" outlineLevel="0" collapsed="false">
      <c r="B19" s="20" t="str">
        <f aca="false">Project_Register!A10</f>
        <v>P-205</v>
      </c>
      <c r="C19" s="7" t="str">
        <f aca="false">Project_Register!B10</f>
        <v>Fleet GPS Rollout</v>
      </c>
      <c r="D19" s="20" t="str">
        <f aca="false">Project_Register!D10</f>
        <v>S. Nguyen</v>
      </c>
      <c r="E19" s="21" t="n">
        <f aca="false">IFERROR(IF(INDEX(Monthly_Updates!$D$6:$D$400,MATCH(B19&amp;"|"&amp;$E$4,Monthly_Updates!$S$6:$S$400,0))="","—",INDEX(Monthly_Updates!$D$6:$D$400,MATCH(B19&amp;"|"&amp;$E$4,Monthly_Updates!$S$6:$S$400,0))),"—")</f>
        <v>0.8</v>
      </c>
      <c r="F19" s="21" t="n">
        <f aca="false">IFERROR(IF(INDEX(Monthly_Updates!$K$6:$K$400,MATCH(B19&amp;"|"&amp;$E$4,Monthly_Updates!$S$6:$S$400,0))="","—",INDEX(Monthly_Updates!$K$6:$K$400,MATCH(B19&amp;"|"&amp;$E$4,Monthly_Updates!$S$6:$S$400,0))),"—")</f>
        <v>1</v>
      </c>
      <c r="G19" s="22" t="n">
        <f aca="false">IFERROR(IF(INDEX(Monthly_Updates!$L$6:$L$400,MATCH(B19&amp;"|"&amp;$E$4,Monthly_Updates!$S$6:$S$400,0))="","—",INDEX(Monthly_Updates!$L$6:$L$400,MATCH(B19&amp;"|"&amp;$E$4,Monthly_Updates!$S$6:$S$400,0))),"—")</f>
        <v>-20</v>
      </c>
      <c r="H19" s="21" t="n">
        <f aca="false">IFERROR(IF(INDEX(Monthly_Updates!$M$6:$M$400,MATCH(B19&amp;"|"&amp;$E$4,Monthly_Updates!$S$6:$S$400,0))="","—",INDEX(Monthly_Updates!$M$6:$M$400,MATCH(B19&amp;"|"&amp;$E$4,Monthly_Updates!$S$6:$S$400,0))),"—")</f>
        <v>1.05333333333333</v>
      </c>
      <c r="I19" s="22" t="n">
        <f aca="false">IFERROR(IF(INDEX(Monthly_Updates!$N$6:$N$400,MATCH(B19&amp;"|"&amp;$E$4,Monthly_Updates!$S$6:$S$400,0))="","—",INDEX(Monthly_Updates!$N$6:$N$400,MATCH(B19&amp;"|"&amp;$E$4,Monthly_Updates!$S$6:$S$400,0))),"—")</f>
        <v>45</v>
      </c>
      <c r="J19" s="23" t="str">
        <f aca="false">IFERROR(IF(INDEX(Monthly_Updates!$H$6:$H$400,MATCH(B19&amp;"|"&amp;$E$4,Monthly_Updates!$S$6:$S$400,0))="","—",INDEX(Monthly_Updates!$H$6:$H$400,MATCH(B19&amp;"|"&amp;$E$4,Monthly_Updates!$S$6:$S$400,0))),"—")</f>
        <v>Red</v>
      </c>
      <c r="K19" s="23" t="str">
        <f aca="false">IFERROR(INDEX(Monthly_Updates!$O$6:$O$400,MATCH(B19&amp;"|"&amp;$E$4,Monthly_Updates!$S$6:$S$400,0)),IF(Q19="Active","No update",Q19))</f>
        <v>Red</v>
      </c>
      <c r="L19" s="23" t="str">
        <f aca="false">IFERROR(MID(IF(INDEX(Monthly_Updates!$P$6:$P$400,MATCH(B19&amp;"|"&amp;$E$4,Monthly_Updates!$S$6:$S$400,0))&lt;&gt;""," · "&amp;INDEX(Monthly_Updates!$P$6:$P$400,MATCH(B19&amp;"|"&amp;$E$4,Monthly_Updates!$S$6:$S$400,0)),"")&amp;IF(INDEX(Monthly_Updates!$Q$6:$Q$400,MATCH(B19&amp;"|"&amp;$E$4,Monthly_Updates!$S$6:$S$400,0))&lt;&gt;"On time"," · "&amp;INDEX(Monthly_Updates!$Q$6:$Q$400,MATCH(B19&amp;"|"&amp;$E$4,Monthly_Updates!$S$6:$S$400,0))&amp;" update","")&amp;IF(INDEX(Monthly_Updates!$R$6:$R$400,MATCH(B19&amp;"|"&amp;$E$4,Monthly_Updates!$S$6:$S$400,0))&lt;&gt;""," · % dropped",""),4,200),"")</f>
        <v/>
      </c>
      <c r="Q19" s="0" t="str">
        <f aca="false">Project_Register!F10</f>
        <v>Active</v>
      </c>
      <c r="R19" s="24" t="n">
        <f aca="false">IFERROR(IF(INDEX(Monthly_Updates!$F$6:$F$400,MATCH(B19&amp;"|"&amp;$E$4,Monthly_Updates!$S$6:$S$400,0))="",Project_Register!I10,INDEX(Monthly_Updates!$F$6:$F$400,MATCH(B19&amp;"|"&amp;$E$4,Monthly_Updates!$S$6:$S$400,0))),Project_Register!I10)</f>
        <v>79000</v>
      </c>
    </row>
    <row r="20" customFormat="false" ht="18" hidden="false" customHeight="true" outlineLevel="0" collapsed="false">
      <c r="B20" s="20" t="str">
        <f aca="false">Project_Register!A11</f>
        <v>P-206</v>
      </c>
      <c r="C20" s="7" t="str">
        <f aca="false">Project_Register!B11</f>
        <v>SOC 2 Readiness</v>
      </c>
      <c r="D20" s="20" t="str">
        <f aca="false">Project_Register!D11</f>
        <v>K. Brooks</v>
      </c>
      <c r="E20" s="21" t="n">
        <f aca="false">IFERROR(IF(INDEX(Monthly_Updates!$D$6:$D$400,MATCH(B20&amp;"|"&amp;$E$4,Monthly_Updates!$S$6:$S$400,0))="","—",INDEX(Monthly_Updates!$D$6:$D$400,MATCH(B20&amp;"|"&amp;$E$4,Monthly_Updates!$S$6:$S$400,0))),"—")</f>
        <v>0.43</v>
      </c>
      <c r="F20" s="21" t="n">
        <f aca="false">IFERROR(IF(INDEX(Monthly_Updates!$K$6:$K$400,MATCH(B20&amp;"|"&amp;$E$4,Monthly_Updates!$S$6:$S$400,0))="","—",INDEX(Monthly_Updates!$K$6:$K$400,MATCH(B20&amp;"|"&amp;$E$4,Monthly_Updates!$S$6:$S$400,0))),"—")</f>
        <v>0.51006711409396</v>
      </c>
      <c r="G20" s="22" t="n">
        <f aca="false">IFERROR(IF(INDEX(Monthly_Updates!$L$6:$L$400,MATCH(B20&amp;"|"&amp;$E$4,Monthly_Updates!$S$6:$S$400,0))="","—",INDEX(Monthly_Updates!$L$6:$L$400,MATCH(B20&amp;"|"&amp;$E$4,Monthly_Updates!$S$6:$S$400,0))),"—")</f>
        <v>-8</v>
      </c>
      <c r="H20" s="21" t="n">
        <f aca="false">IFERROR(IF(INDEX(Monthly_Updates!$M$6:$M$400,MATCH(B20&amp;"|"&amp;$E$4,Monthly_Updates!$S$6:$S$400,0))="","—",INDEX(Monthly_Updates!$M$6:$M$400,MATCH(B20&amp;"|"&amp;$E$4,Monthly_Updates!$S$6:$S$400,0))),"—")</f>
        <v>0.983333333333333</v>
      </c>
      <c r="I20" s="22" t="n">
        <f aca="false">IFERROR(IF(INDEX(Monthly_Updates!$N$6:$N$400,MATCH(B20&amp;"|"&amp;$E$4,Monthly_Updates!$S$6:$S$400,0))="","—",INDEX(Monthly_Updates!$N$6:$N$400,MATCH(B20&amp;"|"&amp;$E$4,Monthly_Updates!$S$6:$S$400,0))),"—")</f>
        <v>0</v>
      </c>
      <c r="J20" s="23" t="str">
        <f aca="false">IFERROR(IF(INDEX(Monthly_Updates!$H$6:$H$400,MATCH(B20&amp;"|"&amp;$E$4,Monthly_Updates!$S$6:$S$400,0))="","—",INDEX(Monthly_Updates!$H$6:$H$400,MATCH(B20&amp;"|"&amp;$E$4,Monthly_Updates!$S$6:$S$400,0))),"—")</f>
        <v>Amber</v>
      </c>
      <c r="K20" s="23" t="str">
        <f aca="false">IFERROR(INDEX(Monthly_Updates!$O$6:$O$400,MATCH(B20&amp;"|"&amp;$E$4,Monthly_Updates!$S$6:$S$400,0)),IF(Q20="Active","No update",Q20))</f>
        <v>Amber</v>
      </c>
      <c r="L20" s="23" t="str">
        <f aca="false">IFERROR(MID(IF(INDEX(Monthly_Updates!$P$6:$P$400,MATCH(B20&amp;"|"&amp;$E$4,Monthly_Updates!$S$6:$S$400,0))&lt;&gt;""," · "&amp;INDEX(Monthly_Updates!$P$6:$P$400,MATCH(B20&amp;"|"&amp;$E$4,Monthly_Updates!$S$6:$S$400,0)),"")&amp;IF(INDEX(Monthly_Updates!$Q$6:$Q$400,MATCH(B20&amp;"|"&amp;$E$4,Monthly_Updates!$S$6:$S$400,0))&lt;&gt;"On time"," · "&amp;INDEX(Monthly_Updates!$Q$6:$Q$400,MATCH(B20&amp;"|"&amp;$E$4,Monthly_Updates!$S$6:$S$400,0))&amp;" update","")&amp;IF(INDEX(Monthly_Updates!$R$6:$R$400,MATCH(B20&amp;"|"&amp;$E$4,Monthly_Updates!$S$6:$S$400,0))&lt;&gt;""," · % dropped",""),4,200),"")</f>
        <v>Late update</v>
      </c>
      <c r="Q20" s="0" t="str">
        <f aca="false">Project_Register!F11</f>
        <v>Active</v>
      </c>
      <c r="R20" s="24" t="n">
        <f aca="false">IFERROR(IF(INDEX(Monthly_Updates!$F$6:$F$400,MATCH(B20&amp;"|"&amp;$E$4,Monthly_Updates!$S$6:$S$400,0))="",Project_Register!I11,INDEX(Monthly_Updates!$F$6:$F$400,MATCH(B20&amp;"|"&amp;$E$4,Monthly_Updates!$S$6:$S$400,0))),Project_Register!I11)</f>
        <v>118000</v>
      </c>
    </row>
    <row r="21" customFormat="false" ht="18" hidden="false" customHeight="true" outlineLevel="0" collapsed="false">
      <c r="B21" s="20" t="str">
        <f aca="false">Project_Register!A12</f>
        <v>P-207</v>
      </c>
      <c r="C21" s="7" t="str">
        <f aca="false">Project_Register!B12</f>
        <v>Website Redesign</v>
      </c>
      <c r="D21" s="20" t="str">
        <f aca="false">Project_Register!D12</f>
        <v>L. Ortiz</v>
      </c>
      <c r="E21" s="21" t="n">
        <f aca="false">IFERROR(IF(INDEX(Monthly_Updates!$D$6:$D$400,MATCH(B21&amp;"|"&amp;$E$4,Monthly_Updates!$S$6:$S$400,0))="","—",INDEX(Monthly_Updates!$D$6:$D$400,MATCH(B21&amp;"|"&amp;$E$4,Monthly_Updates!$S$6:$S$400,0))),"—")</f>
        <v>0.52</v>
      </c>
      <c r="F21" s="21" t="n">
        <f aca="false">IFERROR(IF(INDEX(Monthly_Updates!$K$6:$K$400,MATCH(B21&amp;"|"&amp;$E$4,Monthly_Updates!$S$6:$S$400,0))="","—",INDEX(Monthly_Updates!$K$6:$K$400,MATCH(B21&amp;"|"&amp;$E$4,Monthly_Updates!$S$6:$S$400,0))),"—")</f>
        <v>0.497206703910615</v>
      </c>
      <c r="G21" s="22" t="n">
        <f aca="false">IFERROR(IF(INDEX(Monthly_Updates!$L$6:$L$400,MATCH(B21&amp;"|"&amp;$E$4,Monthly_Updates!$S$6:$S$400,0))="","—",INDEX(Monthly_Updates!$L$6:$L$400,MATCH(B21&amp;"|"&amp;$E$4,Monthly_Updates!$S$6:$S$400,0))),"—")</f>
        <v>2</v>
      </c>
      <c r="H21" s="21" t="n">
        <f aca="false">IFERROR(IF(INDEX(Monthly_Updates!$M$6:$M$400,MATCH(B21&amp;"|"&amp;$E$4,Monthly_Updates!$S$6:$S$400,0))="","—",INDEX(Monthly_Updates!$M$6:$M$400,MATCH(B21&amp;"|"&amp;$E$4,Monthly_Updates!$S$6:$S$400,0))),"—")</f>
        <v>1</v>
      </c>
      <c r="I21" s="22" t="n">
        <f aca="false">IFERROR(IF(INDEX(Monthly_Updates!$N$6:$N$400,MATCH(B21&amp;"|"&amp;$E$4,Monthly_Updates!$S$6:$S$400,0))="","—",INDEX(Monthly_Updates!$N$6:$N$400,MATCH(B21&amp;"|"&amp;$E$4,Monthly_Updates!$S$6:$S$400,0))),"—")</f>
        <v>0</v>
      </c>
      <c r="J21" s="23" t="str">
        <f aca="false">IFERROR(IF(INDEX(Monthly_Updates!$H$6:$H$400,MATCH(B21&amp;"|"&amp;$E$4,Monthly_Updates!$S$6:$S$400,0))="","—",INDEX(Monthly_Updates!$H$6:$H$400,MATCH(B21&amp;"|"&amp;$E$4,Monthly_Updates!$S$6:$S$400,0))),"—")</f>
        <v>Green</v>
      </c>
      <c r="K21" s="23" t="str">
        <f aca="false">IFERROR(INDEX(Monthly_Updates!$O$6:$O$400,MATCH(B21&amp;"|"&amp;$E$4,Monthly_Updates!$S$6:$S$400,0)),IF(Q21="Active","No update",Q21))</f>
        <v>Green</v>
      </c>
      <c r="L21" s="23" t="str">
        <f aca="false">IFERROR(MID(IF(INDEX(Monthly_Updates!$P$6:$P$400,MATCH(B21&amp;"|"&amp;$E$4,Monthly_Updates!$S$6:$S$400,0))&lt;&gt;""," · "&amp;INDEX(Monthly_Updates!$P$6:$P$400,MATCH(B21&amp;"|"&amp;$E$4,Monthly_Updates!$S$6:$S$400,0)),"")&amp;IF(INDEX(Monthly_Updates!$Q$6:$Q$400,MATCH(B21&amp;"|"&amp;$E$4,Monthly_Updates!$S$6:$S$400,0))&lt;&gt;"On time"," · "&amp;INDEX(Monthly_Updates!$Q$6:$Q$400,MATCH(B21&amp;"|"&amp;$E$4,Monthly_Updates!$S$6:$S$400,0))&amp;" update","")&amp;IF(INDEX(Monthly_Updates!$R$6:$R$400,MATCH(B21&amp;"|"&amp;$E$4,Monthly_Updates!$S$6:$S$400,0))&lt;&gt;""," · % dropped",""),4,200),"")</f>
        <v/>
      </c>
      <c r="Q21" s="0" t="str">
        <f aca="false">Project_Register!F12</f>
        <v>Active</v>
      </c>
      <c r="R21" s="24" t="n">
        <f aca="false">IFERROR(IF(INDEX(Monthly_Updates!$F$6:$F$400,MATCH(B21&amp;"|"&amp;$E$4,Monthly_Updates!$S$6:$S$400,0))="",Project_Register!I12,INDEX(Monthly_Updates!$F$6:$F$400,MATCH(B21&amp;"|"&amp;$E$4,Monthly_Updates!$S$6:$S$400,0))),Project_Register!I12)</f>
        <v>70000</v>
      </c>
    </row>
    <row r="22" customFormat="false" ht="18" hidden="false" customHeight="true" outlineLevel="0" collapsed="false">
      <c r="B22" s="20" t="str">
        <f aca="false">Project_Register!A13</f>
        <v>P-208</v>
      </c>
      <c r="C22" s="7" t="str">
        <f aca="false">Project_Register!B13</f>
        <v>Phone System to Teams Calling</v>
      </c>
      <c r="D22" s="20" t="str">
        <f aca="false">Project_Register!D13</f>
        <v>K. Brooks</v>
      </c>
      <c r="E22" s="21" t="str">
        <f aca="false">IFERROR(IF(INDEX(Monthly_Updates!$D$6:$D$400,MATCH(B22&amp;"|"&amp;$E$4,Monthly_Updates!$S$6:$S$400,0))="","—",INDEX(Monthly_Updates!$D$6:$D$400,MATCH(B22&amp;"|"&amp;$E$4,Monthly_Updates!$S$6:$S$400,0))),"—")</f>
        <v>—</v>
      </c>
      <c r="F22" s="21" t="n">
        <f aca="false">IFERROR(IF(INDEX(Monthly_Updates!$K$6:$K$400,MATCH(B22&amp;"|"&amp;$E$4,Monthly_Updates!$S$6:$S$400,0))="","—",INDEX(Monthly_Updates!$K$6:$K$400,MATCH(B22&amp;"|"&amp;$E$4,Monthly_Updates!$S$6:$S$400,0))),"—")</f>
        <v>0.613636363636364</v>
      </c>
      <c r="G22" s="22" t="str">
        <f aca="false">IFERROR(IF(INDEX(Monthly_Updates!$L$6:$L$400,MATCH(B22&amp;"|"&amp;$E$4,Monthly_Updates!$S$6:$S$400,0))="","—",INDEX(Monthly_Updates!$L$6:$L$400,MATCH(B22&amp;"|"&amp;$E$4,Monthly_Updates!$S$6:$S$400,0))),"—")</f>
        <v>—</v>
      </c>
      <c r="H22" s="21" t="str">
        <f aca="false">IFERROR(IF(INDEX(Monthly_Updates!$M$6:$M$400,MATCH(B22&amp;"|"&amp;$E$4,Monthly_Updates!$S$6:$S$400,0))="","—",INDEX(Monthly_Updates!$M$6:$M$400,MATCH(B22&amp;"|"&amp;$E$4,Monthly_Updates!$S$6:$S$400,0))),"—")</f>
        <v>—</v>
      </c>
      <c r="I22" s="22" t="str">
        <f aca="false">IFERROR(IF(INDEX(Monthly_Updates!$N$6:$N$400,MATCH(B22&amp;"|"&amp;$E$4,Monthly_Updates!$S$6:$S$400,0))="","—",INDEX(Monthly_Updates!$N$6:$N$400,MATCH(B22&amp;"|"&amp;$E$4,Monthly_Updates!$S$6:$S$400,0))),"—")</f>
        <v>—</v>
      </c>
      <c r="J22" s="23" t="str">
        <f aca="false">IFERROR(IF(INDEX(Monthly_Updates!$H$6:$H$400,MATCH(B22&amp;"|"&amp;$E$4,Monthly_Updates!$S$6:$S$400,0))="","—",INDEX(Monthly_Updates!$H$6:$H$400,MATCH(B22&amp;"|"&amp;$E$4,Monthly_Updates!$S$6:$S$400,0))),"—")</f>
        <v>—</v>
      </c>
      <c r="K22" s="23" t="str">
        <f aca="false">IFERROR(INDEX(Monthly_Updates!$O$6:$O$400,MATCH(B22&amp;"|"&amp;$E$4,Monthly_Updates!$S$6:$S$400,0)),IF(Q22="Active","No update",Q22))</f>
        <v>No update</v>
      </c>
      <c r="L22" s="23" t="str">
        <f aca="false">IFERROR(MID(IF(INDEX(Monthly_Updates!$P$6:$P$400,MATCH(B22&amp;"|"&amp;$E$4,Monthly_Updates!$S$6:$S$400,0))&lt;&gt;""," · "&amp;INDEX(Monthly_Updates!$P$6:$P$400,MATCH(B22&amp;"|"&amp;$E$4,Monthly_Updates!$S$6:$S$400,0)),"")&amp;IF(INDEX(Monthly_Updates!$Q$6:$Q$400,MATCH(B22&amp;"|"&amp;$E$4,Monthly_Updates!$S$6:$S$400,0))&lt;&gt;"On time"," · "&amp;INDEX(Monthly_Updates!$Q$6:$Q$400,MATCH(B22&amp;"|"&amp;$E$4,Monthly_Updates!$S$6:$S$400,0))&amp;" update","")&amp;IF(INDEX(Monthly_Updates!$R$6:$R$400,MATCH(B22&amp;"|"&amp;$E$4,Monthly_Updates!$S$6:$S$400,0))&lt;&gt;""," · % dropped",""),4,200),"")</f>
        <v>Missing update</v>
      </c>
      <c r="Q22" s="0" t="str">
        <f aca="false">Project_Register!F13</f>
        <v>Active</v>
      </c>
      <c r="R22" s="24" t="n">
        <f aca="false">IFERROR(IF(INDEX(Monthly_Updates!$F$6:$F$400,MATCH(B22&amp;"|"&amp;$E$4,Monthly_Updates!$S$6:$S$400,0))="",Project_Register!I13,INDEX(Monthly_Updates!$F$6:$F$400,MATCH(B22&amp;"|"&amp;$E$4,Monthly_Updates!$S$6:$S$400,0))),Project_Register!I13)</f>
        <v>38000</v>
      </c>
    </row>
    <row r="23" customFormat="false" ht="18" hidden="false" customHeight="true" outlineLevel="0" collapsed="false">
      <c r="B23" s="20" t="str">
        <f aca="false">Project_Register!A14</f>
        <v>P-209</v>
      </c>
      <c r="C23" s="7" t="str">
        <f aca="false">Project_Register!B14</f>
        <v>Records Digitization</v>
      </c>
      <c r="D23" s="20" t="str">
        <f aca="false">Project_Register!D14</f>
        <v>R. Patel</v>
      </c>
      <c r="E23" s="21" t="n">
        <f aca="false">IFERROR(IF(INDEX(Monthly_Updates!$D$6:$D$400,MATCH(B23&amp;"|"&amp;$E$4,Monthly_Updates!$S$6:$S$400,0))="","—",INDEX(Monthly_Updates!$D$6:$D$400,MATCH(B23&amp;"|"&amp;$E$4,Monthly_Updates!$S$6:$S$400,0))),"—")</f>
        <v>0.55</v>
      </c>
      <c r="F23" s="21" t="n">
        <f aca="false">IFERROR(IF(INDEX(Monthly_Updates!$K$6:$K$400,MATCH(B23&amp;"|"&amp;$E$4,Monthly_Updates!$S$6:$S$400,0))="","—",INDEX(Monthly_Updates!$K$6:$K$400,MATCH(B23&amp;"|"&amp;$E$4,Monthly_Updates!$S$6:$S$400,0))),"—")</f>
        <v>0.616161616161616</v>
      </c>
      <c r="G23" s="22" t="n">
        <f aca="false">IFERROR(IF(INDEX(Monthly_Updates!$L$6:$L$400,MATCH(B23&amp;"|"&amp;$E$4,Monthly_Updates!$S$6:$S$400,0))="","—",INDEX(Monthly_Updates!$L$6:$L$400,MATCH(B23&amp;"|"&amp;$E$4,Monthly_Updates!$S$6:$S$400,0))),"—")</f>
        <v>-7</v>
      </c>
      <c r="H23" s="21" t="n">
        <f aca="false">IFERROR(IF(INDEX(Monthly_Updates!$M$6:$M$400,MATCH(B23&amp;"|"&amp;$E$4,Monthly_Updates!$S$6:$S$400,0))="","—",INDEX(Monthly_Updates!$M$6:$M$400,MATCH(B23&amp;"|"&amp;$E$4,Monthly_Updates!$S$6:$S$400,0))),"—")</f>
        <v>1.03703703703704</v>
      </c>
      <c r="I23" s="22" t="n">
        <f aca="false">IFERROR(IF(INDEX(Monthly_Updates!$N$6:$N$400,MATCH(B23&amp;"|"&amp;$E$4,Monthly_Updates!$S$6:$S$400,0))="","—",INDEX(Monthly_Updates!$N$6:$N$400,MATCH(B23&amp;"|"&amp;$E$4,Monthly_Updates!$S$6:$S$400,0))),"—")</f>
        <v>0</v>
      </c>
      <c r="J23" s="23" t="str">
        <f aca="false">IFERROR(IF(INDEX(Monthly_Updates!$H$6:$H$400,MATCH(B23&amp;"|"&amp;$E$4,Monthly_Updates!$S$6:$S$400,0))="","—",INDEX(Monthly_Updates!$H$6:$H$400,MATCH(B23&amp;"|"&amp;$E$4,Monthly_Updates!$S$6:$S$400,0))),"—")</f>
        <v>Green</v>
      </c>
      <c r="K23" s="23" t="str">
        <f aca="false">IFERROR(INDEX(Monthly_Updates!$O$6:$O$400,MATCH(B23&amp;"|"&amp;$E$4,Monthly_Updates!$S$6:$S$400,0)),IF(Q23="Active","No update",Q23))</f>
        <v>Amber</v>
      </c>
      <c r="L23" s="23" t="str">
        <f aca="false">IFERROR(MID(IF(INDEX(Monthly_Updates!$P$6:$P$400,MATCH(B23&amp;"|"&amp;$E$4,Monthly_Updates!$S$6:$S$400,0))&lt;&gt;""," · "&amp;INDEX(Monthly_Updates!$P$6:$P$400,MATCH(B23&amp;"|"&amp;$E$4,Monthly_Updates!$S$6:$S$400,0)),"")&amp;IF(INDEX(Monthly_Updates!$Q$6:$Q$400,MATCH(B23&amp;"|"&amp;$E$4,Monthly_Updates!$S$6:$S$400,0))&lt;&gt;"On time"," · "&amp;INDEX(Monthly_Updates!$Q$6:$Q$400,MATCH(B23&amp;"|"&amp;$E$4,Monthly_Updates!$S$6:$S$400,0))&amp;" update","")&amp;IF(INDEX(Monthly_Updates!$R$6:$R$400,MATCH(B23&amp;"|"&amp;$E$4,Monthly_Updates!$S$6:$S$400,0))&lt;&gt;""," · % dropped",""),4,200),"")</f>
        <v>Watermelon · % dropped</v>
      </c>
      <c r="Q23" s="0" t="str">
        <f aca="false">Project_Register!F14</f>
        <v>Active</v>
      </c>
      <c r="R23" s="24" t="n">
        <f aca="false">IFERROR(IF(INDEX(Monthly_Updates!$F$6:$F$400,MATCH(B23&amp;"|"&amp;$E$4,Monthly_Updates!$S$6:$S$400,0))="",Project_Register!I14,INDEX(Monthly_Updates!$F$6:$F$400,MATCH(B23&amp;"|"&amp;$E$4,Monthly_Updates!$S$6:$S$400,0))),Project_Register!I14)</f>
        <v>56000</v>
      </c>
    </row>
    <row r="24" customFormat="false" ht="18" hidden="false" customHeight="true" outlineLevel="0" collapsed="false">
      <c r="B24" s="20" t="str">
        <f aca="false">Project_Register!A15</f>
        <v>P-210</v>
      </c>
      <c r="C24" s="7" t="str">
        <f aca="false">Project_Register!B15</f>
        <v>Parking Lot Resurfacing</v>
      </c>
      <c r="D24" s="20" t="str">
        <f aca="false">Project_Register!D15</f>
        <v>L. Ortiz</v>
      </c>
      <c r="E24" s="21" t="n">
        <f aca="false">IFERROR(IF(INDEX(Monthly_Updates!$D$6:$D$400,MATCH(B24&amp;"|"&amp;$E$4,Monthly_Updates!$S$6:$S$400,0))="","—",INDEX(Monthly_Updates!$D$6:$D$400,MATCH(B24&amp;"|"&amp;$E$4,Monthly_Updates!$S$6:$S$400,0))),"—")</f>
        <v>0.25</v>
      </c>
      <c r="F24" s="21" t="str">
        <f aca="false">IFERROR(IF(INDEX(Monthly_Updates!$K$6:$K$400,MATCH(B24&amp;"|"&amp;$E$4,Monthly_Updates!$S$6:$S$400,0))="","—",INDEX(Monthly_Updates!$K$6:$K$400,MATCH(B24&amp;"|"&amp;$E$4,Monthly_Updates!$S$6:$S$400,0))),"—")</f>
        <v>—</v>
      </c>
      <c r="G24" s="22" t="str">
        <f aca="false">IFERROR(IF(INDEX(Monthly_Updates!$L$6:$L$400,MATCH(B24&amp;"|"&amp;$E$4,Monthly_Updates!$S$6:$S$400,0))="","—",INDEX(Monthly_Updates!$L$6:$L$400,MATCH(B24&amp;"|"&amp;$E$4,Monthly_Updates!$S$6:$S$400,0))),"—")</f>
        <v>—</v>
      </c>
      <c r="H24" s="21" t="n">
        <f aca="false">IFERROR(IF(INDEX(Monthly_Updates!$M$6:$M$400,MATCH(B24&amp;"|"&amp;$E$4,Monthly_Updates!$S$6:$S$400,0))="","—",INDEX(Monthly_Updates!$M$6:$M$400,MATCH(B24&amp;"|"&amp;$E$4,Monthly_Updates!$S$6:$S$400,0))),"—")</f>
        <v>1</v>
      </c>
      <c r="I24" s="22" t="str">
        <f aca="false">IFERROR(IF(INDEX(Monthly_Updates!$N$6:$N$400,MATCH(B24&amp;"|"&amp;$E$4,Monthly_Updates!$S$6:$S$400,0))="","—",INDEX(Monthly_Updates!$N$6:$N$400,MATCH(B24&amp;"|"&amp;$E$4,Monthly_Updates!$S$6:$S$400,0))),"—")</f>
        <v>—</v>
      </c>
      <c r="J24" s="23" t="str">
        <f aca="false">IFERROR(IF(INDEX(Monthly_Updates!$H$6:$H$400,MATCH(B24&amp;"|"&amp;$E$4,Monthly_Updates!$S$6:$S$400,0))="","—",INDEX(Monthly_Updates!$H$6:$H$400,MATCH(B24&amp;"|"&amp;$E$4,Monthly_Updates!$S$6:$S$400,0))),"—")</f>
        <v>Amber</v>
      </c>
      <c r="K24" s="23" t="str">
        <f aca="false">IFERROR(INDEX(Monthly_Updates!$O$6:$O$400,MATCH(B24&amp;"|"&amp;$E$4,Monthly_Updates!$S$6:$S$400,0)),IF(Q24="Active","No update",Q24))</f>
        <v>On Hold</v>
      </c>
      <c r="L24" s="23" t="str">
        <f aca="false">IFERROR(MID(IF(INDEX(Monthly_Updates!$P$6:$P$400,MATCH(B24&amp;"|"&amp;$E$4,Monthly_Updates!$S$6:$S$400,0))&lt;&gt;""," · "&amp;INDEX(Monthly_Updates!$P$6:$P$400,MATCH(B24&amp;"|"&amp;$E$4,Monthly_Updates!$S$6:$S$400,0)),"")&amp;IF(INDEX(Monthly_Updates!$Q$6:$Q$400,MATCH(B24&amp;"|"&amp;$E$4,Monthly_Updates!$S$6:$S$400,0))&lt;&gt;"On time"," · "&amp;INDEX(Monthly_Updates!$Q$6:$Q$400,MATCH(B24&amp;"|"&amp;$E$4,Monthly_Updates!$S$6:$S$400,0))&amp;" update","")&amp;IF(INDEX(Monthly_Updates!$R$6:$R$400,MATCH(B24&amp;"|"&amp;$E$4,Monthly_Updates!$S$6:$S$400,0))&lt;&gt;""," · % dropped",""),4,200),"")</f>
        <v/>
      </c>
      <c r="Q24" s="0" t="str">
        <f aca="false">Project_Register!F15</f>
        <v>On Hold</v>
      </c>
      <c r="R24" s="24" t="n">
        <f aca="false">IFERROR(IF(INDEX(Monthly_Updates!$F$6:$F$400,MATCH(B24&amp;"|"&amp;$E$4,Monthly_Updates!$S$6:$S$400,0))="",Project_Register!I15,INDEX(Monthly_Updates!$F$6:$F$400,MATCH(B24&amp;"|"&amp;$E$4,Monthly_Updates!$S$6:$S$400,0))),Project_Register!I15)</f>
        <v>85000</v>
      </c>
    </row>
    <row r="27" customFormat="false" ht="15" hidden="false" customHeight="false" outlineLevel="0" collapsed="false">
      <c r="B27" s="17" t="s">
        <v>67</v>
      </c>
      <c r="C27" s="18"/>
      <c r="D27" s="18"/>
      <c r="E27" s="18"/>
      <c r="F27" s="18"/>
    </row>
    <row r="28" customFormat="false" ht="30" hidden="false" customHeight="true" outlineLevel="0" collapsed="false">
      <c r="B28" s="19" t="s">
        <v>68</v>
      </c>
      <c r="C28" s="19" t="s">
        <v>69</v>
      </c>
      <c r="D28" s="19" t="s">
        <v>70</v>
      </c>
      <c r="E28" s="19" t="s">
        <v>71</v>
      </c>
    </row>
    <row r="29" customFormat="false" ht="15" hidden="false" customHeight="false" outlineLevel="0" collapsed="false">
      <c r="B29" s="25" t="n">
        <v>46234</v>
      </c>
      <c r="C29" s="26" t="n">
        <f aca="false">COUNTIFS(Monthly_Updates!$A$6:$A$400,$B29,Monthly_Updates!$O$6:$O$400,"Green")</f>
        <v>7</v>
      </c>
      <c r="D29" s="26" t="n">
        <f aca="false">COUNTIFS(Monthly_Updates!$A$6:$A$400,$B29,Monthly_Updates!$O$6:$O$400,"Amber")</f>
        <v>0</v>
      </c>
      <c r="E29" s="26" t="n">
        <f aca="false">COUNTIFS(Monthly_Updates!$A$6:$A$400,$B29,Monthly_Updates!$O$6:$O$400,"Red")</f>
        <v>0</v>
      </c>
    </row>
    <row r="30" customFormat="false" ht="15" hidden="false" customHeight="false" outlineLevel="0" collapsed="false">
      <c r="B30" s="25" t="n">
        <v>46265</v>
      </c>
      <c r="C30" s="26" t="n">
        <f aca="false">COUNTIFS(Monthly_Updates!$A$6:$A$400,$B30,Monthly_Updates!$O$6:$O$400,"Green")</f>
        <v>7</v>
      </c>
      <c r="D30" s="26" t="n">
        <f aca="false">COUNTIFS(Monthly_Updates!$A$6:$A$400,$B30,Monthly_Updates!$O$6:$O$400,"Amber")</f>
        <v>2</v>
      </c>
      <c r="E30" s="26" t="n">
        <f aca="false">COUNTIFS(Monthly_Updates!$A$6:$A$400,$B30,Monthly_Updates!$O$6:$O$400,"Red")</f>
        <v>0</v>
      </c>
    </row>
    <row r="31" customFormat="false" ht="15" hidden="false" customHeight="false" outlineLevel="0" collapsed="false">
      <c r="B31" s="25" t="n">
        <v>46295</v>
      </c>
      <c r="C31" s="26" t="n">
        <f aca="false">COUNTIFS(Monthly_Updates!$A$6:$A$400,$B31,Monthly_Updates!$O$6:$O$400,"Green")</f>
        <v>4</v>
      </c>
      <c r="D31" s="26" t="n">
        <f aca="false">COUNTIFS(Monthly_Updates!$A$6:$A$400,$B31,Monthly_Updates!$O$6:$O$400,"Amber")</f>
        <v>4</v>
      </c>
      <c r="E31" s="26" t="n">
        <f aca="false">COUNTIFS(Monthly_Updates!$A$6:$A$400,$B31,Monthly_Updates!$O$6:$O$400,"Red")</f>
        <v>0</v>
      </c>
    </row>
    <row r="32" customFormat="false" ht="15" hidden="false" customHeight="false" outlineLevel="0" collapsed="false">
      <c r="B32" s="25" t="n">
        <v>46326</v>
      </c>
      <c r="C32" s="26" t="n">
        <f aca="false">COUNTIFS(Monthly_Updates!$A$6:$A$400,$B32,Monthly_Updates!$O$6:$O$400,"Green")</f>
        <v>2</v>
      </c>
      <c r="D32" s="26" t="n">
        <f aca="false">COUNTIFS(Monthly_Updates!$A$6:$A$400,$B32,Monthly_Updates!$O$6:$O$400,"Amber")</f>
        <v>3</v>
      </c>
      <c r="E32" s="26" t="n">
        <f aca="false">COUNTIFS(Monthly_Updates!$A$6:$A$400,$B32,Monthly_Updates!$O$6:$O$400,"Red")</f>
        <v>2</v>
      </c>
    </row>
  </sheetData>
  <mergeCells count="16">
    <mergeCell ref="B6:C6"/>
    <mergeCell ref="D6:E6"/>
    <mergeCell ref="F6:G6"/>
    <mergeCell ref="H6:I6"/>
    <mergeCell ref="B7:C7"/>
    <mergeCell ref="D7:E7"/>
    <mergeCell ref="F7:G7"/>
    <mergeCell ref="H7:I7"/>
    <mergeCell ref="B10:C10"/>
    <mergeCell ref="D10:E10"/>
    <mergeCell ref="F10:G10"/>
    <mergeCell ref="H10:I10"/>
    <mergeCell ref="B11:C11"/>
    <mergeCell ref="D11:E11"/>
    <mergeCell ref="F11:G11"/>
    <mergeCell ref="H11:I11"/>
  </mergeCells>
  <conditionalFormatting sqref="J15:J24">
    <cfRule type="cellIs" priority="2" operator="equal" aboveAverage="0" equalAverage="0" bottom="0" percent="0" rank="0" text="" dxfId="0">
      <formula>"Complete"</formula>
    </cfRule>
    <cfRule type="cellIs" priority="3" operator="equal" aboveAverage="0" equalAverage="0" bottom="0" percent="0" rank="0" text="" dxfId="0">
      <formula>"Done"</formula>
    </cfRule>
    <cfRule type="cellIs" priority="4" operator="equal" aboveAverage="0" equalAverage="0" bottom="0" percent="0" rank="0" text="" dxfId="0">
      <formula>"Closed"</formula>
    </cfRule>
    <cfRule type="cellIs" priority="5" operator="equal" aboveAverage="0" equalAverage="0" bottom="0" percent="0" rank="0" text="" dxfId="0">
      <formula>"Answered"</formula>
    </cfRule>
    <cfRule type="cellIs" priority="6" operator="equal" aboveAverage="0" equalAverage="0" bottom="0" percent="0" rank="0" text="" dxfId="1">
      <formula>"Approved"</formula>
    </cfRule>
    <cfRule type="cellIs" priority="7" operator="equal" aboveAverage="0" equalAverage="0" bottom="0" percent="0" rank="0" text="" dxfId="1">
      <formula>"On Track"</formula>
    </cfRule>
    <cfRule type="cellIs" priority="8" operator="equal" aboveAverage="0" equalAverage="0" bottom="0" percent="0" rank="0" text="" dxfId="1">
      <formula>"Green"</formula>
    </cfRule>
    <cfRule type="cellIs" priority="9" operator="equal" aboveAverage="0" equalAverage="0" bottom="0" percent="0" rank="0" text="" dxfId="1">
      <formula>"GO"</formula>
    </cfRule>
    <cfRule type="cellIs" priority="10" operator="equal" aboveAverage="0" equalAverage="0" bottom="0" percent="0" rank="0" text="" dxfId="1">
      <formula>"Low"</formula>
    </cfRule>
    <cfRule type="cellIs" priority="11" operator="equal" aboveAverage="0" equalAverage="0" bottom="0" percent="0" rank="0" text="" dxfId="2">
      <formula>"At Risk"</formula>
    </cfRule>
    <cfRule type="cellIs" priority="12" operator="equal" aboveAverage="0" equalAverage="0" bottom="0" percent="0" rank="0" text="" dxfId="2">
      <formula>"Amber"</formula>
    </cfRule>
    <cfRule type="cellIs" priority="13" operator="equal" aboveAverage="0" equalAverage="0" bottom="0" percent="0" rank="0" text="" dxfId="2">
      <formula>"Medium"</formula>
    </cfRule>
    <cfRule type="cellIs" priority="14" operator="equal" aboveAverage="0" equalAverage="0" bottom="0" percent="0" rank="0" text="" dxfId="2">
      <formula>"Pending"</formula>
    </cfRule>
    <cfRule type="cellIs" priority="15" operator="equal" aboveAverage="0" equalAverage="0" bottom="0" percent="0" rank="0" text="" dxfId="2">
      <formula>"Open"</formula>
    </cfRule>
    <cfRule type="cellIs" priority="16" operator="equal" aboveAverage="0" equalAverage="0" bottom="0" percent="0" rank="0" text="" dxfId="3">
      <formula>"Late"</formula>
    </cfRule>
    <cfRule type="cellIs" priority="17" operator="equal" aboveAverage="0" equalAverage="0" bottom="0" percent="0" rank="0" text="" dxfId="3">
      <formula>"Red"</formula>
    </cfRule>
    <cfRule type="cellIs" priority="18" operator="equal" aboveAverage="0" equalAverage="0" bottom="0" percent="0" rank="0" text="" dxfId="3">
      <formula>"High"</formula>
    </cfRule>
    <cfRule type="cellIs" priority="19" operator="equal" aboveAverage="0" equalAverage="0" bottom="0" percent="0" rank="0" text="" dxfId="3">
      <formula>"Overdue"</formula>
    </cfRule>
    <cfRule type="cellIs" priority="20" operator="equal" aboveAverage="0" equalAverage="0" bottom="0" percent="0" rank="0" text="" dxfId="3">
      <formula>"OVERDUE"</formula>
    </cfRule>
    <cfRule type="cellIs" priority="21" operator="equal" aboveAverage="0" equalAverage="0" bottom="0" percent="0" rank="0" text="" dxfId="3">
      <formula>"NO-GO"</formula>
    </cfRule>
    <cfRule type="cellIs" priority="22" operator="equal" aboveAverage="0" equalAverage="0" bottom="0" percent="0" rank="0" text="" dxfId="3">
      <formula>"Blocked"</formula>
    </cfRule>
  </conditionalFormatting>
  <conditionalFormatting sqref="K15:K24">
    <cfRule type="cellIs" priority="23" operator="equal" aboveAverage="0" equalAverage="0" bottom="0" percent="0" rank="0" text="" dxfId="0">
      <formula>"Complete"</formula>
    </cfRule>
    <cfRule type="cellIs" priority="24" operator="equal" aboveAverage="0" equalAverage="0" bottom="0" percent="0" rank="0" text="" dxfId="0">
      <formula>"Done"</formula>
    </cfRule>
    <cfRule type="cellIs" priority="25" operator="equal" aboveAverage="0" equalAverage="0" bottom="0" percent="0" rank="0" text="" dxfId="0">
      <formula>"Closed"</formula>
    </cfRule>
    <cfRule type="cellIs" priority="26" operator="equal" aboveAverage="0" equalAverage="0" bottom="0" percent="0" rank="0" text="" dxfId="0">
      <formula>"Answered"</formula>
    </cfRule>
    <cfRule type="cellIs" priority="27" operator="equal" aboveAverage="0" equalAverage="0" bottom="0" percent="0" rank="0" text="" dxfId="1">
      <formula>"Approved"</formula>
    </cfRule>
    <cfRule type="cellIs" priority="28" operator="equal" aboveAverage="0" equalAverage="0" bottom="0" percent="0" rank="0" text="" dxfId="1">
      <formula>"On Track"</formula>
    </cfRule>
    <cfRule type="cellIs" priority="29" operator="equal" aboveAverage="0" equalAverage="0" bottom="0" percent="0" rank="0" text="" dxfId="1">
      <formula>"Green"</formula>
    </cfRule>
    <cfRule type="cellIs" priority="30" operator="equal" aboveAverage="0" equalAverage="0" bottom="0" percent="0" rank="0" text="" dxfId="1">
      <formula>"GO"</formula>
    </cfRule>
    <cfRule type="cellIs" priority="31" operator="equal" aboveAverage="0" equalAverage="0" bottom="0" percent="0" rank="0" text="" dxfId="1">
      <formula>"Low"</formula>
    </cfRule>
    <cfRule type="cellIs" priority="32" operator="equal" aboveAverage="0" equalAverage="0" bottom="0" percent="0" rank="0" text="" dxfId="2">
      <formula>"At Risk"</formula>
    </cfRule>
    <cfRule type="cellIs" priority="33" operator="equal" aboveAverage="0" equalAverage="0" bottom="0" percent="0" rank="0" text="" dxfId="2">
      <formula>"Amber"</formula>
    </cfRule>
    <cfRule type="cellIs" priority="34" operator="equal" aboveAverage="0" equalAverage="0" bottom="0" percent="0" rank="0" text="" dxfId="2">
      <formula>"Medium"</formula>
    </cfRule>
    <cfRule type="cellIs" priority="35" operator="equal" aboveAverage="0" equalAverage="0" bottom="0" percent="0" rank="0" text="" dxfId="2">
      <formula>"Pending"</formula>
    </cfRule>
    <cfRule type="cellIs" priority="36" operator="equal" aboveAverage="0" equalAverage="0" bottom="0" percent="0" rank="0" text="" dxfId="2">
      <formula>"Open"</formula>
    </cfRule>
    <cfRule type="cellIs" priority="37" operator="equal" aboveAverage="0" equalAverage="0" bottom="0" percent="0" rank="0" text="" dxfId="3">
      <formula>"Late"</formula>
    </cfRule>
    <cfRule type="cellIs" priority="38" operator="equal" aboveAverage="0" equalAverage="0" bottom="0" percent="0" rank="0" text="" dxfId="3">
      <formula>"Red"</formula>
    </cfRule>
    <cfRule type="cellIs" priority="39" operator="equal" aboveAverage="0" equalAverage="0" bottom="0" percent="0" rank="0" text="" dxfId="3">
      <formula>"High"</formula>
    </cfRule>
    <cfRule type="cellIs" priority="40" operator="equal" aboveAverage="0" equalAverage="0" bottom="0" percent="0" rank="0" text="" dxfId="3">
      <formula>"Overdue"</formula>
    </cfRule>
    <cfRule type="cellIs" priority="41" operator="equal" aboveAverage="0" equalAverage="0" bottom="0" percent="0" rank="0" text="" dxfId="3">
      <formula>"OVERDUE"</formula>
    </cfRule>
    <cfRule type="cellIs" priority="42" operator="equal" aboveAverage="0" equalAverage="0" bottom="0" percent="0" rank="0" text="" dxfId="3">
      <formula>"NO-GO"</formula>
    </cfRule>
    <cfRule type="cellIs" priority="43" operator="equal" aboveAverage="0" equalAverage="0" bottom="0" percent="0" rank="0" text="" dxfId="3">
      <formula>"Blocked"</formula>
    </cfRule>
    <cfRule type="cellIs" priority="44" operator="equal" aboveAverage="0" equalAverage="0" bottom="0" percent="0" rank="0" text="" dxfId="0">
      <formula>"Complete"</formula>
    </cfRule>
    <cfRule type="cellIs" priority="45" operator="equal" aboveAverage="0" equalAverage="0" bottom="0" percent="0" rank="0" text="" dxfId="0">
      <formula>"Closed"</formula>
    </cfRule>
    <cfRule type="cellIs" priority="46" operator="equal" aboveAverage="0" equalAverage="0" bottom="0" percent="0" rank="0" text="" dxfId="0">
      <formula>"On Hold"</formula>
    </cfRule>
    <cfRule type="cellIs" priority="47" operator="equal" aboveAverage="0" equalAverage="0" bottom="0" percent="0" rank="0" text="" dxfId="3">
      <formula>"No update"</formula>
    </cfRule>
  </conditionalFormatting>
  <conditionalFormatting sqref="L15:L24">
    <cfRule type="expression" priority="48" aboveAverage="0" equalAverage="0" bottom="0" percent="0" rank="0" text="" dxfId="4">
      <formula>LEN($L15)&gt;0</formula>
    </cfRule>
  </conditionalFormatting>
  <conditionalFormatting sqref="G15:G24">
    <cfRule type="cellIs" priority="49" operator="lessThanOrEqual" aboveAverage="0" equalAverage="0" bottom="0" percent="0" rank="0" text="" dxfId="4">
      <formula>SV_Amber</formula>
    </cfRule>
  </conditionalFormatting>
  <dataValidations count="1">
    <dataValidation allowBlank="true" errorStyle="stop" operator="between" prompt="Pick a month-end date" promptTitle="Pick from list" showDropDown="false" showErrorMessage="false" showInputMessage="true" sqref="C4" type="list">
      <formula1>Lists!$D$5:$D$8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7F8E"/>
    <pageSetUpPr fitToPage="true"/>
  </sheetPr>
  <dimension ref="A1:T4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8"/>
    <col collapsed="false" customWidth="true" hidden="false" outlineLevel="0" max="3" min="3" style="0" width="28"/>
    <col collapsed="false" customWidth="true" hidden="false" outlineLevel="0" max="4" min="4" style="0" width="10"/>
    <col collapsed="false" customWidth="true" hidden="false" outlineLevel="0" max="6" min="5" style="0" width="11"/>
    <col collapsed="false" customWidth="true" hidden="false" outlineLevel="0" max="7" min="7" style="0" width="10"/>
    <col collapsed="false" customWidth="true" hidden="false" outlineLevel="0" max="8" min="8" style="0" width="9"/>
    <col collapsed="false" customWidth="true" hidden="false" outlineLevel="0" max="9" min="9" style="0" width="32"/>
    <col collapsed="false" customWidth="true" hidden="false" outlineLevel="0" max="13" min="10" style="0" width="10"/>
    <col collapsed="false" customWidth="true" hidden="false" outlineLevel="0" max="14" min="14" style="0" width="9"/>
    <col collapsed="false" customWidth="true" hidden="false" outlineLevel="0" max="15" min="15" style="0" width="11"/>
    <col collapsed="false" customWidth="true" hidden="false" outlineLevel="0" max="16" min="16" style="0" width="12"/>
    <col collapsed="false" customWidth="true" hidden="false" outlineLevel="0" max="17" min="17" style="0" width="10"/>
    <col collapsed="false" customWidth="true" hidden="false" outlineLevel="0" max="18" min="18" style="0" width="9"/>
    <col collapsed="false" customWidth="true" hidden="true" outlineLevel="0" max="19" min="19" style="0" width="12"/>
    <col collapsed="false" customWidth="true" hidden="false" outlineLevel="0" max="20" min="20" style="0" width="11"/>
  </cols>
  <sheetData>
    <row r="1" customFormat="false" ht="19.7" hidden="false" customHeight="false" outlineLevel="0" collapsed="false">
      <c r="A1" s="9" t="s">
        <v>72</v>
      </c>
    </row>
    <row r="2" customFormat="false" ht="15" hidden="false" customHeight="false" outlineLevel="0" collapsed="false">
      <c r="A2" s="2" t="s">
        <v>73</v>
      </c>
    </row>
    <row r="3" customFormat="false" ht="15" hidden="false" customHeight="false" outlineLevel="0" collapsed="false">
      <c r="A3" s="27"/>
      <c r="B3" s="28" t="s">
        <v>74</v>
      </c>
    </row>
    <row r="5" customFormat="false" ht="30" hidden="false" customHeight="true" outlineLevel="0" collapsed="false">
      <c r="A5" s="19" t="s">
        <v>68</v>
      </c>
      <c r="B5" s="19" t="s">
        <v>75</v>
      </c>
      <c r="C5" s="19" t="s">
        <v>57</v>
      </c>
      <c r="D5" s="19" t="s">
        <v>76</v>
      </c>
      <c r="E5" s="19" t="s">
        <v>77</v>
      </c>
      <c r="F5" s="19" t="s">
        <v>78</v>
      </c>
      <c r="G5" s="19" t="s">
        <v>79</v>
      </c>
      <c r="H5" s="19" t="s">
        <v>64</v>
      </c>
      <c r="I5" s="19" t="s">
        <v>80</v>
      </c>
      <c r="J5" s="19" t="s">
        <v>81</v>
      </c>
      <c r="K5" s="19" t="s">
        <v>82</v>
      </c>
      <c r="L5" s="19" t="s">
        <v>83</v>
      </c>
      <c r="M5" s="19" t="s">
        <v>84</v>
      </c>
      <c r="N5" s="19" t="s">
        <v>63</v>
      </c>
      <c r="O5" s="19" t="s">
        <v>65</v>
      </c>
      <c r="P5" s="19" t="s">
        <v>85</v>
      </c>
      <c r="Q5" s="19" t="s">
        <v>86</v>
      </c>
      <c r="R5" s="19" t="s">
        <v>87</v>
      </c>
      <c r="S5" s="19" t="s">
        <v>88</v>
      </c>
      <c r="T5" s="19" t="s">
        <v>89</v>
      </c>
    </row>
    <row r="6" customFormat="false" ht="15" hidden="false" customHeight="false" outlineLevel="0" collapsed="false">
      <c r="A6" s="29" t="n">
        <v>46234</v>
      </c>
      <c r="B6" s="30" t="s">
        <v>90</v>
      </c>
      <c r="C6" s="20" t="str">
        <f aca="false">IF(B6="","",IFERROR(INDEX(Project_Register!$B$6:$B$40,MATCH(B6,Project_Register!$A$6:$A$40,0)),"Unknown ID"))</f>
        <v>CRM Data Migration</v>
      </c>
      <c r="D6" s="31" t="n">
        <v>0.27</v>
      </c>
      <c r="E6" s="32" t="n">
        <v>22000</v>
      </c>
      <c r="F6" s="32" t="n">
        <v>180000</v>
      </c>
      <c r="G6" s="33" t="n">
        <v>46374</v>
      </c>
      <c r="H6" s="30" t="s">
        <v>69</v>
      </c>
      <c r="I6" s="34" t="s">
        <v>91</v>
      </c>
      <c r="J6" s="33" t="n">
        <v>46237</v>
      </c>
      <c r="K6" s="21" t="n">
        <f aca="false">IF(OR(B6="",T6="On Hold"),"",MAX(0,MIN(1,(A6-INDEX(Project_Register!$G$6:$G$40,MATCH(B6,Project_Register!$A$6:$A$40,0)))/(INDEX(Project_Register!$H$6:$H$40,MATCH(B6,Project_Register!$A$6:$A$40,0))-INDEX(Project_Register!$G$6:$G$40,MATCH(B6,Project_Register!$A$6:$A$40,0))))))</f>
        <v>0.3</v>
      </c>
      <c r="L6" s="22" t="n">
        <f aca="false">IF(OR(B6="",D6="",T6="On Hold"),"",ROUND((D6-K6)*100,0))</f>
        <v>-3</v>
      </c>
      <c r="M6" s="21" t="n">
        <f aca="false">IF(OR(B6="",F6=""),"",F6/INDEX(Project_Register!$I$6:$I$40,MATCH(B6,Project_Register!$A$6:$A$40,0)))</f>
        <v>1</v>
      </c>
      <c r="N6" s="22" t="n">
        <f aca="false">IF(OR(B6="",G6="",T6="On Hold"),"",G6-INDEX(Project_Register!$H$6:$H$40,MATCH(B6,Project_Register!$A$6:$A$40,0)))</f>
        <v>0</v>
      </c>
      <c r="O6" s="23" t="str">
        <f aca="false">IF(B6="","",IF(D6="","No update",IF(AND(T6&lt;&gt;"Active",D6&lt;1),T6,IF(D6&gt;=1,"Complete",IF(OR(L6&lt;=SV_Red,M6&gt;Cost_Red,N6&gt;Slip_Red),"Red",IF(OR(L6&lt;=SV_Amber,M6&gt;Cost_Amber,N6&gt;Slip_Amber),"Amber","Green"))))))</f>
        <v>Green</v>
      </c>
      <c r="P6" s="23" t="str">
        <f aca="false">IF(AND(H6="Green",OR(O6="Amber",O6="Red")),"Watermelon","")</f>
        <v/>
      </c>
      <c r="Q6" s="23" t="str">
        <f aca="false">IF(B6="","",IF(J6="","Missing",IF(J6&gt;A6+UpdateDue,"Late","On time")))</f>
        <v>On time</v>
      </c>
      <c r="R6" s="23" t="str">
        <f aca="false">IF(OR(B6="",D6=""),"",IF(COUNTIFS($B$6:$B$400,B6,$A$6:$A$400,EOMONTH(A6,-1))=0,"",IF(D6&lt;SUMIFS($D$6:$D$400,$B$6:$B$400,B6,$A$6:$A$400,EOMONTH(A6,-1)),"Dropped","")))</f>
        <v/>
      </c>
      <c r="S6" s="35" t="str">
        <f aca="false">IF(B6="","",B6&amp;"|"&amp;(YEAR(A6)*100+MONTH(A6)))</f>
        <v>P-201|202607</v>
      </c>
      <c r="T6" s="36" t="s">
        <v>92</v>
      </c>
    </row>
    <row r="7" customFormat="false" ht="15" hidden="false" customHeight="false" outlineLevel="0" collapsed="false">
      <c r="A7" s="29" t="n">
        <v>46234</v>
      </c>
      <c r="B7" s="30" t="s">
        <v>93</v>
      </c>
      <c r="C7" s="20" t="str">
        <f aca="false">IF(B7="","",IFERROR(INDEX(Project_Register!$B$6:$B$40,MATCH(B7,Project_Register!$A$6:$A$40,0)),"Unknown ID"))</f>
        <v>Warehouse Label Printer Rollout</v>
      </c>
      <c r="D7" s="31" t="n">
        <v>0.15</v>
      </c>
      <c r="E7" s="32" t="n">
        <v>6000</v>
      </c>
      <c r="F7" s="32" t="n">
        <v>42000</v>
      </c>
      <c r="G7" s="33" t="n">
        <v>46346</v>
      </c>
      <c r="H7" s="30" t="s">
        <v>69</v>
      </c>
      <c r="I7" s="34" t="s">
        <v>94</v>
      </c>
      <c r="J7" s="33" t="n">
        <v>46236</v>
      </c>
      <c r="K7" s="21" t="n">
        <f aca="false">IF(OR(B7="",T7="On Hold"),"",MAX(0,MIN(1,(A7-INDEX(Project_Register!$G$6:$G$40,MATCH(B7,Project_Register!$A$6:$A$40,0)))/(INDEX(Project_Register!$H$6:$H$40,MATCH(B7,Project_Register!$A$6:$A$40,0))-INDEX(Project_Register!$G$6:$G$40,MATCH(B7,Project_Register!$A$6:$A$40,0))))))</f>
        <v>0.182481751824818</v>
      </c>
      <c r="L7" s="22" t="n">
        <f aca="false">IF(OR(B7="",D7="",T7="On Hold"),"",ROUND((D7-K7)*100,0))</f>
        <v>-3</v>
      </c>
      <c r="M7" s="21" t="n">
        <f aca="false">IF(OR(B7="",F7=""),"",F7/INDEX(Project_Register!$I$6:$I$40,MATCH(B7,Project_Register!$A$6:$A$40,0)))</f>
        <v>1</v>
      </c>
      <c r="N7" s="22" t="n">
        <f aca="false">IF(OR(B7="",G7="",T7="On Hold"),"",G7-INDEX(Project_Register!$H$6:$H$40,MATCH(B7,Project_Register!$A$6:$A$40,0)))</f>
        <v>0</v>
      </c>
      <c r="O7" s="23" t="str">
        <f aca="false">IF(B7="","",IF(D7="","No update",IF(AND(T7&lt;&gt;"Active",D7&lt;1),T7,IF(D7&gt;=1,"Complete",IF(OR(L7&lt;=SV_Red,M7&gt;Cost_Red,N7&gt;Slip_Red),"Red",IF(OR(L7&lt;=SV_Amber,M7&gt;Cost_Amber,N7&gt;Slip_Amber),"Amber","Green"))))))</f>
        <v>Green</v>
      </c>
      <c r="P7" s="23" t="str">
        <f aca="false">IF(AND(H7="Green",OR(O7="Amber",O7="Red")),"Watermelon","")</f>
        <v/>
      </c>
      <c r="Q7" s="23" t="str">
        <f aca="false">IF(B7="","",IF(J7="","Missing",IF(J7&gt;A7+UpdateDue,"Late","On time")))</f>
        <v>On time</v>
      </c>
      <c r="R7" s="23" t="str">
        <f aca="false">IF(OR(B7="",D7=""),"",IF(COUNTIFS($B$6:$B$400,B7,$A$6:$A$400,EOMONTH(A7,-1))=0,"",IF(D7&lt;SUMIFS($D$6:$D$400,$B$6:$B$400,B7,$A$6:$A$400,EOMONTH(A7,-1)),"Dropped","")))</f>
        <v/>
      </c>
      <c r="S7" s="35" t="str">
        <f aca="false">IF(B7="","",B7&amp;"|"&amp;(YEAR(A7)*100+MONTH(A7)))</f>
        <v>P-202|202607</v>
      </c>
      <c r="T7" s="36" t="s">
        <v>92</v>
      </c>
    </row>
    <row r="8" customFormat="false" ht="15" hidden="false" customHeight="false" outlineLevel="0" collapsed="false">
      <c r="A8" s="29" t="n">
        <v>46234</v>
      </c>
      <c r="B8" s="30" t="s">
        <v>95</v>
      </c>
      <c r="C8" s="20" t="str">
        <f aca="false">IF(B8="","",IFERROR(INDEX(Project_Register!$B$6:$B$40,MATCH(B8,Project_Register!$A$6:$A$40,0)),"Unknown ID"))</f>
        <v>HR Onboarding Portal</v>
      </c>
      <c r="D8" s="31" t="n">
        <v>0.38</v>
      </c>
      <c r="E8" s="32" t="n">
        <v>26000</v>
      </c>
      <c r="F8" s="32" t="n">
        <v>95000</v>
      </c>
      <c r="G8" s="33" t="n">
        <v>46367</v>
      </c>
      <c r="H8" s="30" t="s">
        <v>69</v>
      </c>
      <c r="I8" s="34" t="s">
        <v>96</v>
      </c>
      <c r="J8" s="33" t="n">
        <v>46237</v>
      </c>
      <c r="K8" s="21" t="n">
        <f aca="false">IF(OR(B8="",T8="On Hold"),"",MAX(0,MIN(1,(A8-INDEX(Project_Register!$G$6:$G$40,MATCH(B8,Project_Register!$A$6:$A$40,0)))/(INDEX(Project_Register!$H$6:$H$40,MATCH(B8,Project_Register!$A$6:$A$40,0))-INDEX(Project_Register!$G$6:$G$40,MATCH(B8,Project_Register!$A$6:$A$40,0))))))</f>
        <v>0.398190045248869</v>
      </c>
      <c r="L8" s="22" t="n">
        <f aca="false">IF(OR(B8="",D8="",T8="On Hold"),"",ROUND((D8-K8)*100,0))</f>
        <v>-2</v>
      </c>
      <c r="M8" s="21" t="n">
        <f aca="false">IF(OR(B8="",F8=""),"",F8/INDEX(Project_Register!$I$6:$I$40,MATCH(B8,Project_Register!$A$6:$A$40,0)))</f>
        <v>1</v>
      </c>
      <c r="N8" s="22" t="n">
        <f aca="false">IF(OR(B8="",G8="",T8="On Hold"),"",G8-INDEX(Project_Register!$H$6:$H$40,MATCH(B8,Project_Register!$A$6:$A$40,0)))</f>
        <v>0</v>
      </c>
      <c r="O8" s="23" t="str">
        <f aca="false">IF(B8="","",IF(D8="","No update",IF(AND(T8&lt;&gt;"Active",D8&lt;1),T8,IF(D8&gt;=1,"Complete",IF(OR(L8&lt;=SV_Red,M8&gt;Cost_Red,N8&gt;Slip_Red),"Red",IF(OR(L8&lt;=SV_Amber,M8&gt;Cost_Amber,N8&gt;Slip_Amber),"Amber","Green"))))))</f>
        <v>Green</v>
      </c>
      <c r="P8" s="23" t="str">
        <f aca="false">IF(AND(H8="Green",OR(O8="Amber",O8="Red")),"Watermelon","")</f>
        <v/>
      </c>
      <c r="Q8" s="23" t="str">
        <f aca="false">IF(B8="","",IF(J8="","Missing",IF(J8&gt;A8+UpdateDue,"Late","On time")))</f>
        <v>On time</v>
      </c>
      <c r="R8" s="23" t="str">
        <f aca="false">IF(OR(B8="",D8=""),"",IF(COUNTIFS($B$6:$B$400,B8,$A$6:$A$400,EOMONTH(A8,-1))=0,"",IF(D8&lt;SUMIFS($D$6:$D$400,$B$6:$B$400,B8,$A$6:$A$400,EOMONTH(A8,-1)),"Dropped","")))</f>
        <v/>
      </c>
      <c r="S8" s="35" t="str">
        <f aca="false">IF(B8="","",B8&amp;"|"&amp;(YEAR(A8)*100+MONTH(A8)))</f>
        <v>P-203|202607</v>
      </c>
      <c r="T8" s="36" t="s">
        <v>92</v>
      </c>
    </row>
    <row r="9" customFormat="false" ht="15" hidden="false" customHeight="false" outlineLevel="0" collapsed="false">
      <c r="A9" s="29" t="n">
        <v>46234</v>
      </c>
      <c r="B9" s="30" t="s">
        <v>97</v>
      </c>
      <c r="C9" s="20" t="str">
        <f aca="false">IF(B9="","",IFERROR(INDEX(Project_Register!$B$6:$B$40,MATCH(B9,Project_Register!$A$6:$A$40,0)),"Unknown ID"))</f>
        <v>HQ Lobby Refresh</v>
      </c>
      <c r="D9" s="31" t="n">
        <v>0.8</v>
      </c>
      <c r="E9" s="32" t="n">
        <v>41000</v>
      </c>
      <c r="F9" s="32" t="n">
        <v>60000</v>
      </c>
      <c r="G9" s="33" t="n">
        <v>46290</v>
      </c>
      <c r="H9" s="30" t="s">
        <v>69</v>
      </c>
      <c r="I9" s="34" t="s">
        <v>98</v>
      </c>
      <c r="J9" s="33" t="n">
        <v>46236</v>
      </c>
      <c r="K9" s="21" t="n">
        <f aca="false">IF(OR(B9="",T9="On Hold"),"",MAX(0,MIN(1,(A9-INDEX(Project_Register!$G$6:$G$40,MATCH(B9,Project_Register!$A$6:$A$40,0)))/(INDEX(Project_Register!$H$6:$H$40,MATCH(B9,Project_Register!$A$6:$A$40,0))-INDEX(Project_Register!$G$6:$G$40,MATCH(B9,Project_Register!$A$6:$A$40,0))))))</f>
        <v>0.674418604651163</v>
      </c>
      <c r="L9" s="22" t="n">
        <f aca="false">IF(OR(B9="",D9="",T9="On Hold"),"",ROUND((D9-K9)*100,0))</f>
        <v>13</v>
      </c>
      <c r="M9" s="21" t="n">
        <f aca="false">IF(OR(B9="",F9=""),"",F9/INDEX(Project_Register!$I$6:$I$40,MATCH(B9,Project_Register!$A$6:$A$40,0)))</f>
        <v>1</v>
      </c>
      <c r="N9" s="22" t="n">
        <f aca="false">IF(OR(B9="",G9="",T9="On Hold"),"",G9-INDEX(Project_Register!$H$6:$H$40,MATCH(B9,Project_Register!$A$6:$A$40,0)))</f>
        <v>0</v>
      </c>
      <c r="O9" s="23" t="str">
        <f aca="false">IF(B9="","",IF(D9="","No update",IF(AND(T9&lt;&gt;"Active",D9&lt;1),T9,IF(D9&gt;=1,"Complete",IF(OR(L9&lt;=SV_Red,M9&gt;Cost_Red,N9&gt;Slip_Red),"Red",IF(OR(L9&lt;=SV_Amber,M9&gt;Cost_Amber,N9&gt;Slip_Amber),"Amber","Green"))))))</f>
        <v>Green</v>
      </c>
      <c r="P9" s="23" t="str">
        <f aca="false">IF(AND(H9="Green",OR(O9="Amber",O9="Red")),"Watermelon","")</f>
        <v/>
      </c>
      <c r="Q9" s="23" t="str">
        <f aca="false">IF(B9="","",IF(J9="","Missing",IF(J9&gt;A9+UpdateDue,"Late","On time")))</f>
        <v>On time</v>
      </c>
      <c r="R9" s="23" t="str">
        <f aca="false">IF(OR(B9="",D9=""),"",IF(COUNTIFS($B$6:$B$400,B9,$A$6:$A$400,EOMONTH(A9,-1))=0,"",IF(D9&lt;SUMIFS($D$6:$D$400,$B$6:$B$400,B9,$A$6:$A$400,EOMONTH(A9,-1)),"Dropped","")))</f>
        <v/>
      </c>
      <c r="S9" s="35" t="str">
        <f aca="false">IF(B9="","",B9&amp;"|"&amp;(YEAR(A9)*100+MONTH(A9)))</f>
        <v>P-204|202607</v>
      </c>
      <c r="T9" s="36" t="s">
        <v>92</v>
      </c>
    </row>
    <row r="10" customFormat="false" ht="15" hidden="false" customHeight="false" outlineLevel="0" collapsed="false">
      <c r="A10" s="29" t="n">
        <v>46234</v>
      </c>
      <c r="B10" s="30" t="s">
        <v>99</v>
      </c>
      <c r="C10" s="20" t="str">
        <f aca="false">IF(B10="","",IFERROR(INDEX(Project_Register!$B$6:$B$40,MATCH(B10,Project_Register!$A$6:$A$40,0)),"Unknown ID"))</f>
        <v>Fleet GPS Rollout</v>
      </c>
      <c r="D10" s="31" t="n">
        <v>0.15</v>
      </c>
      <c r="E10" s="32" t="n">
        <v>9000</v>
      </c>
      <c r="F10" s="32" t="n">
        <v>75000</v>
      </c>
      <c r="G10" s="33" t="n">
        <v>46325</v>
      </c>
      <c r="H10" s="30" t="s">
        <v>69</v>
      </c>
      <c r="I10" s="34" t="s">
        <v>100</v>
      </c>
      <c r="J10" s="33" t="n">
        <v>46238</v>
      </c>
      <c r="K10" s="21" t="n">
        <f aca="false">IF(OR(B10="",T10="On Hold"),"",MAX(0,MIN(1,(A10-INDEX(Project_Register!$G$6:$G$40,MATCH(B10,Project_Register!$A$6:$A$40,0)))/(INDEX(Project_Register!$H$6:$H$40,MATCH(B10,Project_Register!$A$6:$A$40,0))-INDEX(Project_Register!$G$6:$G$40,MATCH(B10,Project_Register!$A$6:$A$40,0))))))</f>
        <v>0.165137614678899</v>
      </c>
      <c r="L10" s="22" t="n">
        <f aca="false">IF(OR(B10="",D10="",T10="On Hold"),"",ROUND((D10-K10)*100,0))</f>
        <v>-2</v>
      </c>
      <c r="M10" s="21" t="n">
        <f aca="false">IF(OR(B10="",F10=""),"",F10/INDEX(Project_Register!$I$6:$I$40,MATCH(B10,Project_Register!$A$6:$A$40,0)))</f>
        <v>1</v>
      </c>
      <c r="N10" s="22" t="n">
        <f aca="false">IF(OR(B10="",G10="",T10="On Hold"),"",G10-INDEX(Project_Register!$H$6:$H$40,MATCH(B10,Project_Register!$A$6:$A$40,0)))</f>
        <v>0</v>
      </c>
      <c r="O10" s="23" t="str">
        <f aca="false">IF(B10="","",IF(D10="","No update",IF(AND(T10&lt;&gt;"Active",D10&lt;1),T10,IF(D10&gt;=1,"Complete",IF(OR(L10&lt;=SV_Red,M10&gt;Cost_Red,N10&gt;Slip_Red),"Red",IF(OR(L10&lt;=SV_Amber,M10&gt;Cost_Amber,N10&gt;Slip_Amber),"Amber","Green"))))))</f>
        <v>Green</v>
      </c>
      <c r="P10" s="23" t="str">
        <f aca="false">IF(AND(H10="Green",OR(O10="Amber",O10="Red")),"Watermelon","")</f>
        <v/>
      </c>
      <c r="Q10" s="23" t="str">
        <f aca="false">IF(B10="","",IF(J10="","Missing",IF(J10&gt;A10+UpdateDue,"Late","On time")))</f>
        <v>On time</v>
      </c>
      <c r="R10" s="23" t="str">
        <f aca="false">IF(OR(B10="",D10=""),"",IF(COUNTIFS($B$6:$B$400,B10,$A$6:$A$400,EOMONTH(A10,-1))=0,"",IF(D10&lt;SUMIFS($D$6:$D$400,$B$6:$B$400,B10,$A$6:$A$400,EOMONTH(A10,-1)),"Dropped","")))</f>
        <v/>
      </c>
      <c r="S10" s="35" t="str">
        <f aca="false">IF(B10="","",B10&amp;"|"&amp;(YEAR(A10)*100+MONTH(A10)))</f>
        <v>P-205|202607</v>
      </c>
      <c r="T10" s="36" t="s">
        <v>92</v>
      </c>
    </row>
    <row r="11" customFormat="false" ht="15" hidden="false" customHeight="false" outlineLevel="0" collapsed="false">
      <c r="A11" s="29" t="n">
        <v>46234</v>
      </c>
      <c r="B11" s="30" t="s">
        <v>101</v>
      </c>
      <c r="C11" s="20" t="str">
        <f aca="false">IF(B11="","",IFERROR(INDEX(Project_Register!$B$6:$B$40,MATCH(B11,Project_Register!$A$6:$A$40,0)),"Unknown ID"))</f>
        <v>SOC 2 Readiness</v>
      </c>
      <c r="D11" s="31" t="n">
        <v>0.19</v>
      </c>
      <c r="E11" s="32" t="n">
        <v>14000</v>
      </c>
      <c r="F11" s="32" t="n">
        <v>120000</v>
      </c>
      <c r="G11" s="33" t="n">
        <v>46472</v>
      </c>
      <c r="H11" s="30" t="s">
        <v>69</v>
      </c>
      <c r="I11" s="34" t="s">
        <v>102</v>
      </c>
      <c r="J11" s="33" t="n">
        <v>46238</v>
      </c>
      <c r="K11" s="21" t="n">
        <f aca="false">IF(OR(B11="",T11="On Hold"),"",MAX(0,MIN(1,(A11-INDEX(Project_Register!$G$6:$G$40,MATCH(B11,Project_Register!$A$6:$A$40,0)))/(INDEX(Project_Register!$H$6:$H$40,MATCH(B11,Project_Register!$A$6:$A$40,0))-INDEX(Project_Register!$G$6:$G$40,MATCH(B11,Project_Register!$A$6:$A$40,0))))))</f>
        <v>0.201342281879195</v>
      </c>
      <c r="L11" s="22" t="n">
        <f aca="false">IF(OR(B11="",D11="",T11="On Hold"),"",ROUND((D11-K11)*100,0))</f>
        <v>-1</v>
      </c>
      <c r="M11" s="21" t="n">
        <f aca="false">IF(OR(B11="",F11=""),"",F11/INDEX(Project_Register!$I$6:$I$40,MATCH(B11,Project_Register!$A$6:$A$40,0)))</f>
        <v>1</v>
      </c>
      <c r="N11" s="22" t="n">
        <f aca="false">IF(OR(B11="",G11="",T11="On Hold"),"",G11-INDEX(Project_Register!$H$6:$H$40,MATCH(B11,Project_Register!$A$6:$A$40,0)))</f>
        <v>0</v>
      </c>
      <c r="O11" s="23" t="str">
        <f aca="false">IF(B11="","",IF(D11="","No update",IF(AND(T11&lt;&gt;"Active",D11&lt;1),T11,IF(D11&gt;=1,"Complete",IF(OR(L11&lt;=SV_Red,M11&gt;Cost_Red,N11&gt;Slip_Red),"Red",IF(OR(L11&lt;=SV_Amber,M11&gt;Cost_Amber,N11&gt;Slip_Amber),"Amber","Green"))))))</f>
        <v>Green</v>
      </c>
      <c r="P11" s="23" t="str">
        <f aca="false">IF(AND(H11="Green",OR(O11="Amber",O11="Red")),"Watermelon","")</f>
        <v/>
      </c>
      <c r="Q11" s="23" t="str">
        <f aca="false">IF(B11="","",IF(J11="","Missing",IF(J11&gt;A11+UpdateDue,"Late","On time")))</f>
        <v>On time</v>
      </c>
      <c r="R11" s="23" t="str">
        <f aca="false">IF(OR(B11="",D11=""),"",IF(COUNTIFS($B$6:$B$400,B11,$A$6:$A$400,EOMONTH(A11,-1))=0,"",IF(D11&lt;SUMIFS($D$6:$D$400,$B$6:$B$400,B11,$A$6:$A$400,EOMONTH(A11,-1)),"Dropped","")))</f>
        <v/>
      </c>
      <c r="S11" s="35" t="str">
        <f aca="false">IF(B11="","",B11&amp;"|"&amp;(YEAR(A11)*100+MONTH(A11)))</f>
        <v>P-206|202607</v>
      </c>
      <c r="T11" s="36" t="s">
        <v>92</v>
      </c>
    </row>
    <row r="12" customFormat="false" ht="15" hidden="false" customHeight="false" outlineLevel="0" collapsed="false">
      <c r="A12" s="29" t="n">
        <v>46234</v>
      </c>
      <c r="B12" s="30" t="s">
        <v>103</v>
      </c>
      <c r="C12" s="20" t="str">
        <f aca="false">IF(B12="","",IFERROR(INDEX(Project_Register!$B$6:$B$40,MATCH(B12,Project_Register!$A$6:$A$40,0)),"Unknown ID"))</f>
        <v>Records Digitization</v>
      </c>
      <c r="D12" s="31" t="n">
        <v>0.12</v>
      </c>
      <c r="E12" s="32" t="n">
        <v>5000</v>
      </c>
      <c r="F12" s="32" t="n">
        <v>54000</v>
      </c>
      <c r="G12" s="33" t="n">
        <v>46402</v>
      </c>
      <c r="H12" s="30" t="s">
        <v>69</v>
      </c>
      <c r="I12" s="34" t="s">
        <v>104</v>
      </c>
      <c r="J12" s="33" t="n">
        <v>46236</v>
      </c>
      <c r="K12" s="21" t="n">
        <f aca="false">IF(OR(B12="",T12="On Hold"),"",MAX(0,MIN(1,(A12-INDEX(Project_Register!$G$6:$G$40,MATCH(B12,Project_Register!$A$6:$A$40,0)))/(INDEX(Project_Register!$H$6:$H$40,MATCH(B12,Project_Register!$A$6:$A$40,0))-INDEX(Project_Register!$G$6:$G$40,MATCH(B12,Project_Register!$A$6:$A$40,0))))))</f>
        <v>0.151515151515152</v>
      </c>
      <c r="L12" s="22" t="n">
        <f aca="false">IF(OR(B12="",D12="",T12="On Hold"),"",ROUND((D12-K12)*100,0))</f>
        <v>-3</v>
      </c>
      <c r="M12" s="21" t="n">
        <f aca="false">IF(OR(B12="",F12=""),"",F12/INDEX(Project_Register!$I$6:$I$40,MATCH(B12,Project_Register!$A$6:$A$40,0)))</f>
        <v>1</v>
      </c>
      <c r="N12" s="22" t="n">
        <f aca="false">IF(OR(B12="",G12="",T12="On Hold"),"",G12-INDEX(Project_Register!$H$6:$H$40,MATCH(B12,Project_Register!$A$6:$A$40,0)))</f>
        <v>0</v>
      </c>
      <c r="O12" s="23" t="str">
        <f aca="false">IF(B12="","",IF(D12="","No update",IF(AND(T12&lt;&gt;"Active",D12&lt;1),T12,IF(D12&gt;=1,"Complete",IF(OR(L12&lt;=SV_Red,M12&gt;Cost_Red,N12&gt;Slip_Red),"Red",IF(OR(L12&lt;=SV_Amber,M12&gt;Cost_Amber,N12&gt;Slip_Amber),"Amber","Green"))))))</f>
        <v>Green</v>
      </c>
      <c r="P12" s="23" t="str">
        <f aca="false">IF(AND(H12="Green",OR(O12="Amber",O12="Red")),"Watermelon","")</f>
        <v/>
      </c>
      <c r="Q12" s="23" t="str">
        <f aca="false">IF(B12="","",IF(J12="","Missing",IF(J12&gt;A12+UpdateDue,"Late","On time")))</f>
        <v>On time</v>
      </c>
      <c r="R12" s="23" t="str">
        <f aca="false">IF(OR(B12="",D12=""),"",IF(COUNTIFS($B$6:$B$400,B12,$A$6:$A$400,EOMONTH(A12,-1))=0,"",IF(D12&lt;SUMIFS($D$6:$D$400,$B$6:$B$400,B12,$A$6:$A$400,EOMONTH(A12,-1)),"Dropped","")))</f>
        <v/>
      </c>
      <c r="S12" s="35" t="str">
        <f aca="false">IF(B12="","",B12&amp;"|"&amp;(YEAR(A12)*100+MONTH(A12)))</f>
        <v>P-209|202607</v>
      </c>
      <c r="T12" s="36" t="s">
        <v>92</v>
      </c>
    </row>
    <row r="13" customFormat="false" ht="15" hidden="false" customHeight="false" outlineLevel="0" collapsed="false">
      <c r="A13" s="29" t="n">
        <v>46265</v>
      </c>
      <c r="B13" s="30" t="s">
        <v>90</v>
      </c>
      <c r="C13" s="20" t="str">
        <f aca="false">IF(B13="","",IFERROR(INDEX(Project_Register!$B$6:$B$40,MATCH(B13,Project_Register!$A$6:$A$40,0)),"Unknown ID"))</f>
        <v>CRM Data Migration</v>
      </c>
      <c r="D13" s="31" t="n">
        <v>0.4</v>
      </c>
      <c r="E13" s="32" t="n">
        <v>51000</v>
      </c>
      <c r="F13" s="32" t="n">
        <v>180000</v>
      </c>
      <c r="G13" s="33" t="n">
        <v>46374</v>
      </c>
      <c r="H13" s="30" t="s">
        <v>69</v>
      </c>
      <c r="I13" s="34" t="s">
        <v>105</v>
      </c>
      <c r="J13" s="33" t="n">
        <v>46269</v>
      </c>
      <c r="K13" s="21" t="n">
        <f aca="false">IF(OR(B13="",T13="On Hold"),"",MAX(0,MIN(1,(A13-INDEX(Project_Register!$G$6:$G$40,MATCH(B13,Project_Register!$A$6:$A$40,0)))/(INDEX(Project_Register!$H$6:$H$40,MATCH(B13,Project_Register!$A$6:$A$40,0))-INDEX(Project_Register!$G$6:$G$40,MATCH(B13,Project_Register!$A$6:$A$40,0))))))</f>
        <v>0.455</v>
      </c>
      <c r="L13" s="22" t="n">
        <f aca="false">IF(OR(B13="",D13="",T13="On Hold"),"",ROUND((D13-K13)*100,0))</f>
        <v>-5</v>
      </c>
      <c r="M13" s="21" t="n">
        <f aca="false">IF(OR(B13="",F13=""),"",F13/INDEX(Project_Register!$I$6:$I$40,MATCH(B13,Project_Register!$A$6:$A$40,0)))</f>
        <v>1</v>
      </c>
      <c r="N13" s="22" t="n">
        <f aca="false">IF(OR(B13="",G13="",T13="On Hold"),"",G13-INDEX(Project_Register!$H$6:$H$40,MATCH(B13,Project_Register!$A$6:$A$40,0)))</f>
        <v>0</v>
      </c>
      <c r="O13" s="23" t="str">
        <f aca="false">IF(B13="","",IF(D13="","No update",IF(AND(T13&lt;&gt;"Active",D13&lt;1),T13,IF(D13&gt;=1,"Complete",IF(OR(L13&lt;=SV_Red,M13&gt;Cost_Red,N13&gt;Slip_Red),"Red",IF(OR(L13&lt;=SV_Amber,M13&gt;Cost_Amber,N13&gt;Slip_Amber),"Amber","Green"))))))</f>
        <v>Amber</v>
      </c>
      <c r="P13" s="23" t="str">
        <f aca="false">IF(AND(H13="Green",OR(O13="Amber",O13="Red")),"Watermelon","")</f>
        <v>Watermelon</v>
      </c>
      <c r="Q13" s="23" t="str">
        <f aca="false">IF(B13="","",IF(J13="","Missing",IF(J13&gt;A13+UpdateDue,"Late","On time")))</f>
        <v>On time</v>
      </c>
      <c r="R13" s="23" t="str">
        <f aca="false">IF(OR(B13="",D13=""),"",IF(COUNTIFS($B$6:$B$400,B13,$A$6:$A$400,EOMONTH(A13,-1))=0,"",IF(D13&lt;SUMIFS($D$6:$D$400,$B$6:$B$400,B13,$A$6:$A$400,EOMONTH(A13,-1)),"Dropped","")))</f>
        <v/>
      </c>
      <c r="S13" s="35" t="str">
        <f aca="false">IF(B13="","",B13&amp;"|"&amp;(YEAR(A13)*100+MONTH(A13)))</f>
        <v>P-201|202608</v>
      </c>
      <c r="T13" s="36" t="s">
        <v>92</v>
      </c>
    </row>
    <row r="14" customFormat="false" ht="15" hidden="false" customHeight="false" outlineLevel="0" collapsed="false">
      <c r="A14" s="29" t="n">
        <v>46265</v>
      </c>
      <c r="B14" s="30" t="s">
        <v>93</v>
      </c>
      <c r="C14" s="20" t="str">
        <f aca="false">IF(B14="","",IFERROR(INDEX(Project_Register!$B$6:$B$40,MATCH(B14,Project_Register!$A$6:$A$40,0)),"Unknown ID"))</f>
        <v>Warehouse Label Printer Rollout</v>
      </c>
      <c r="D14" s="31" t="n">
        <v>0.38</v>
      </c>
      <c r="E14" s="32" t="n">
        <v>15000</v>
      </c>
      <c r="F14" s="32" t="n">
        <v>42000</v>
      </c>
      <c r="G14" s="33" t="n">
        <v>46346</v>
      </c>
      <c r="H14" s="30" t="s">
        <v>69</v>
      </c>
      <c r="I14" s="34" t="s">
        <v>106</v>
      </c>
      <c r="J14" s="33" t="n">
        <v>46268</v>
      </c>
      <c r="K14" s="21" t="n">
        <f aca="false">IF(OR(B14="",T14="On Hold"),"",MAX(0,MIN(1,(A14-INDEX(Project_Register!$G$6:$G$40,MATCH(B14,Project_Register!$A$6:$A$40,0)))/(INDEX(Project_Register!$H$6:$H$40,MATCH(B14,Project_Register!$A$6:$A$40,0))-INDEX(Project_Register!$G$6:$G$40,MATCH(B14,Project_Register!$A$6:$A$40,0))))))</f>
        <v>0.408759124087591</v>
      </c>
      <c r="L14" s="22" t="n">
        <f aca="false">IF(OR(B14="",D14="",T14="On Hold"),"",ROUND((D14-K14)*100,0))</f>
        <v>-3</v>
      </c>
      <c r="M14" s="21" t="n">
        <f aca="false">IF(OR(B14="",F14=""),"",F14/INDEX(Project_Register!$I$6:$I$40,MATCH(B14,Project_Register!$A$6:$A$40,0)))</f>
        <v>1</v>
      </c>
      <c r="N14" s="22" t="n">
        <f aca="false">IF(OR(B14="",G14="",T14="On Hold"),"",G14-INDEX(Project_Register!$H$6:$H$40,MATCH(B14,Project_Register!$A$6:$A$40,0)))</f>
        <v>0</v>
      </c>
      <c r="O14" s="23" t="str">
        <f aca="false">IF(B14="","",IF(D14="","No update",IF(AND(T14&lt;&gt;"Active",D14&lt;1),T14,IF(D14&gt;=1,"Complete",IF(OR(L14&lt;=SV_Red,M14&gt;Cost_Red,N14&gt;Slip_Red),"Red",IF(OR(L14&lt;=SV_Amber,M14&gt;Cost_Amber,N14&gt;Slip_Amber),"Amber","Green"))))))</f>
        <v>Green</v>
      </c>
      <c r="P14" s="23" t="str">
        <f aca="false">IF(AND(H14="Green",OR(O14="Amber",O14="Red")),"Watermelon","")</f>
        <v/>
      </c>
      <c r="Q14" s="23" t="str">
        <f aca="false">IF(B14="","",IF(J14="","Missing",IF(J14&gt;A14+UpdateDue,"Late","On time")))</f>
        <v>On time</v>
      </c>
      <c r="R14" s="23" t="str">
        <f aca="false">IF(OR(B14="",D14=""),"",IF(COUNTIFS($B$6:$B$400,B14,$A$6:$A$400,EOMONTH(A14,-1))=0,"",IF(D14&lt;SUMIFS($D$6:$D$400,$B$6:$B$400,B14,$A$6:$A$400,EOMONTH(A14,-1)),"Dropped","")))</f>
        <v/>
      </c>
      <c r="S14" s="35" t="str">
        <f aca="false">IF(B14="","",B14&amp;"|"&amp;(YEAR(A14)*100+MONTH(A14)))</f>
        <v>P-202|202608</v>
      </c>
      <c r="T14" s="36" t="s">
        <v>92</v>
      </c>
    </row>
    <row r="15" customFormat="false" ht="15" hidden="false" customHeight="false" outlineLevel="0" collapsed="false">
      <c r="A15" s="29" t="n">
        <v>46265</v>
      </c>
      <c r="B15" s="30" t="s">
        <v>95</v>
      </c>
      <c r="C15" s="20" t="str">
        <f aca="false">IF(B15="","",IFERROR(INDEX(Project_Register!$B$6:$B$40,MATCH(B15,Project_Register!$A$6:$A$40,0)),"Unknown ID"))</f>
        <v>HR Onboarding Portal</v>
      </c>
      <c r="D15" s="31" t="n">
        <v>0.52</v>
      </c>
      <c r="E15" s="32" t="n">
        <v>42000</v>
      </c>
      <c r="F15" s="32" t="n">
        <v>95000</v>
      </c>
      <c r="G15" s="33" t="n">
        <v>46367</v>
      </c>
      <c r="H15" s="30" t="s">
        <v>69</v>
      </c>
      <c r="I15" s="34" t="s">
        <v>107</v>
      </c>
      <c r="J15" s="33" t="n">
        <v>46270</v>
      </c>
      <c r="K15" s="21" t="n">
        <f aca="false">IF(OR(B15="",T15="On Hold"),"",MAX(0,MIN(1,(A15-INDEX(Project_Register!$G$6:$G$40,MATCH(B15,Project_Register!$A$6:$A$40,0)))/(INDEX(Project_Register!$H$6:$H$40,MATCH(B15,Project_Register!$A$6:$A$40,0))-INDEX(Project_Register!$G$6:$G$40,MATCH(B15,Project_Register!$A$6:$A$40,0))))))</f>
        <v>0.538461538461538</v>
      </c>
      <c r="L15" s="22" t="n">
        <f aca="false">IF(OR(B15="",D15="",T15="On Hold"),"",ROUND((D15-K15)*100,0))</f>
        <v>-2</v>
      </c>
      <c r="M15" s="21" t="n">
        <f aca="false">IF(OR(B15="",F15=""),"",F15/INDEX(Project_Register!$I$6:$I$40,MATCH(B15,Project_Register!$A$6:$A$40,0)))</f>
        <v>1</v>
      </c>
      <c r="N15" s="22" t="n">
        <f aca="false">IF(OR(B15="",G15="",T15="On Hold"),"",G15-INDEX(Project_Register!$H$6:$H$40,MATCH(B15,Project_Register!$A$6:$A$40,0)))</f>
        <v>0</v>
      </c>
      <c r="O15" s="23" t="str">
        <f aca="false">IF(B15="","",IF(D15="","No update",IF(AND(T15&lt;&gt;"Active",D15&lt;1),T15,IF(D15&gt;=1,"Complete",IF(OR(L15&lt;=SV_Red,M15&gt;Cost_Red,N15&gt;Slip_Red),"Red",IF(OR(L15&lt;=SV_Amber,M15&gt;Cost_Amber,N15&gt;Slip_Amber),"Amber","Green"))))))</f>
        <v>Green</v>
      </c>
      <c r="P15" s="23" t="str">
        <f aca="false">IF(AND(H15="Green",OR(O15="Amber",O15="Red")),"Watermelon","")</f>
        <v/>
      </c>
      <c r="Q15" s="23" t="str">
        <f aca="false">IF(B15="","",IF(J15="","Missing",IF(J15&gt;A15+UpdateDue,"Late","On time")))</f>
        <v>On time</v>
      </c>
      <c r="R15" s="23" t="str">
        <f aca="false">IF(OR(B15="",D15=""),"",IF(COUNTIFS($B$6:$B$400,B15,$A$6:$A$400,EOMONTH(A15,-1))=0,"",IF(D15&lt;SUMIFS($D$6:$D$400,$B$6:$B$400,B15,$A$6:$A$400,EOMONTH(A15,-1)),"Dropped","")))</f>
        <v/>
      </c>
      <c r="S15" s="35" t="str">
        <f aca="false">IF(B15="","",B15&amp;"|"&amp;(YEAR(A15)*100+MONTH(A15)))</f>
        <v>P-203|202608</v>
      </c>
      <c r="T15" s="36" t="s">
        <v>92</v>
      </c>
    </row>
    <row r="16" customFormat="false" ht="15" hidden="false" customHeight="false" outlineLevel="0" collapsed="false">
      <c r="A16" s="29" t="n">
        <v>46265</v>
      </c>
      <c r="B16" s="30" t="s">
        <v>97</v>
      </c>
      <c r="C16" s="20" t="str">
        <f aca="false">IF(B16="","",IFERROR(INDEX(Project_Register!$B$6:$B$40,MATCH(B16,Project_Register!$A$6:$A$40,0)),"Unknown ID"))</f>
        <v>HQ Lobby Refresh</v>
      </c>
      <c r="D16" s="31" t="n">
        <v>0.95</v>
      </c>
      <c r="E16" s="32" t="n">
        <v>55000</v>
      </c>
      <c r="F16" s="32" t="n">
        <v>59000</v>
      </c>
      <c r="G16" s="33" t="n">
        <v>46290</v>
      </c>
      <c r="H16" s="30" t="s">
        <v>69</v>
      </c>
      <c r="I16" s="34" t="s">
        <v>108</v>
      </c>
      <c r="J16" s="33" t="n">
        <v>46267</v>
      </c>
      <c r="K16" s="21" t="n">
        <f aca="false">IF(OR(B16="",T16="On Hold"),"",MAX(0,MIN(1,(A16-INDEX(Project_Register!$G$6:$G$40,MATCH(B16,Project_Register!$A$6:$A$40,0)))/(INDEX(Project_Register!$H$6:$H$40,MATCH(B16,Project_Register!$A$6:$A$40,0))-INDEX(Project_Register!$G$6:$G$40,MATCH(B16,Project_Register!$A$6:$A$40,0))))))</f>
        <v>0.854651162790698</v>
      </c>
      <c r="L16" s="22" t="n">
        <f aca="false">IF(OR(B16="",D16="",T16="On Hold"),"",ROUND((D16-K16)*100,0))</f>
        <v>10</v>
      </c>
      <c r="M16" s="21" t="n">
        <f aca="false">IF(OR(B16="",F16=""),"",F16/INDEX(Project_Register!$I$6:$I$40,MATCH(B16,Project_Register!$A$6:$A$40,0)))</f>
        <v>0.983333333333333</v>
      </c>
      <c r="N16" s="22" t="n">
        <f aca="false">IF(OR(B16="",G16="",T16="On Hold"),"",G16-INDEX(Project_Register!$H$6:$H$40,MATCH(B16,Project_Register!$A$6:$A$40,0)))</f>
        <v>0</v>
      </c>
      <c r="O16" s="23" t="str">
        <f aca="false">IF(B16="","",IF(D16="","No update",IF(AND(T16&lt;&gt;"Active",D16&lt;1),T16,IF(D16&gt;=1,"Complete",IF(OR(L16&lt;=SV_Red,M16&gt;Cost_Red,N16&gt;Slip_Red),"Red",IF(OR(L16&lt;=SV_Amber,M16&gt;Cost_Amber,N16&gt;Slip_Amber),"Amber","Green"))))))</f>
        <v>Green</v>
      </c>
      <c r="P16" s="23" t="str">
        <f aca="false">IF(AND(H16="Green",OR(O16="Amber",O16="Red")),"Watermelon","")</f>
        <v/>
      </c>
      <c r="Q16" s="23" t="str">
        <f aca="false">IF(B16="","",IF(J16="","Missing",IF(J16&gt;A16+UpdateDue,"Late","On time")))</f>
        <v>On time</v>
      </c>
      <c r="R16" s="23" t="str">
        <f aca="false">IF(OR(B16="",D16=""),"",IF(COUNTIFS($B$6:$B$400,B16,$A$6:$A$400,EOMONTH(A16,-1))=0,"",IF(D16&lt;SUMIFS($D$6:$D$400,$B$6:$B$400,B16,$A$6:$A$400,EOMONTH(A16,-1)),"Dropped","")))</f>
        <v/>
      </c>
      <c r="S16" s="35" t="str">
        <f aca="false">IF(B16="","",B16&amp;"|"&amp;(YEAR(A16)*100+MONTH(A16)))</f>
        <v>P-204|202608</v>
      </c>
      <c r="T16" s="36" t="s">
        <v>92</v>
      </c>
    </row>
    <row r="17" customFormat="false" ht="15" hidden="false" customHeight="false" outlineLevel="0" collapsed="false">
      <c r="A17" s="29" t="n">
        <v>46265</v>
      </c>
      <c r="B17" s="30" t="s">
        <v>99</v>
      </c>
      <c r="C17" s="20" t="str">
        <f aca="false">IF(B17="","",IFERROR(INDEX(Project_Register!$B$6:$B$40,MATCH(B17,Project_Register!$A$6:$A$40,0)),"Unknown ID"))</f>
        <v>Fleet GPS Rollout</v>
      </c>
      <c r="D17" s="31" t="n">
        <v>0.4</v>
      </c>
      <c r="E17" s="32" t="n">
        <v>30000</v>
      </c>
      <c r="F17" s="32" t="n">
        <v>76000</v>
      </c>
      <c r="G17" s="33" t="n">
        <v>46325</v>
      </c>
      <c r="H17" s="30" t="s">
        <v>70</v>
      </c>
      <c r="I17" s="34" t="s">
        <v>109</v>
      </c>
      <c r="J17" s="33" t="n">
        <v>46268</v>
      </c>
      <c r="K17" s="21" t="n">
        <f aca="false">IF(OR(B17="",T17="On Hold"),"",MAX(0,MIN(1,(A17-INDEX(Project_Register!$G$6:$G$40,MATCH(B17,Project_Register!$A$6:$A$40,0)))/(INDEX(Project_Register!$H$6:$H$40,MATCH(B17,Project_Register!$A$6:$A$40,0))-INDEX(Project_Register!$G$6:$G$40,MATCH(B17,Project_Register!$A$6:$A$40,0))))))</f>
        <v>0.44954128440367</v>
      </c>
      <c r="L17" s="22" t="n">
        <f aca="false">IF(OR(B17="",D17="",T17="On Hold"),"",ROUND((D17-K17)*100,0))</f>
        <v>-5</v>
      </c>
      <c r="M17" s="21" t="n">
        <f aca="false">IF(OR(B17="",F17=""),"",F17/INDEX(Project_Register!$I$6:$I$40,MATCH(B17,Project_Register!$A$6:$A$40,0)))</f>
        <v>1.01333333333333</v>
      </c>
      <c r="N17" s="22" t="n">
        <f aca="false">IF(OR(B17="",G17="",T17="On Hold"),"",G17-INDEX(Project_Register!$H$6:$H$40,MATCH(B17,Project_Register!$A$6:$A$40,0)))</f>
        <v>0</v>
      </c>
      <c r="O17" s="23" t="str">
        <f aca="false">IF(B17="","",IF(D17="","No update",IF(AND(T17&lt;&gt;"Active",D17&lt;1),T17,IF(D17&gt;=1,"Complete",IF(OR(L17&lt;=SV_Red,M17&gt;Cost_Red,N17&gt;Slip_Red),"Red",IF(OR(L17&lt;=SV_Amber,M17&gt;Cost_Amber,N17&gt;Slip_Amber),"Amber","Green"))))))</f>
        <v>Amber</v>
      </c>
      <c r="P17" s="23" t="str">
        <f aca="false">IF(AND(H17="Green",OR(O17="Amber",O17="Red")),"Watermelon","")</f>
        <v/>
      </c>
      <c r="Q17" s="23" t="str">
        <f aca="false">IF(B17="","",IF(J17="","Missing",IF(J17&gt;A17+UpdateDue,"Late","On time")))</f>
        <v>On time</v>
      </c>
      <c r="R17" s="23" t="str">
        <f aca="false">IF(OR(B17="",D17=""),"",IF(COUNTIFS($B$6:$B$400,B17,$A$6:$A$400,EOMONTH(A17,-1))=0,"",IF(D17&lt;SUMIFS($D$6:$D$400,$B$6:$B$400,B17,$A$6:$A$400,EOMONTH(A17,-1)),"Dropped","")))</f>
        <v/>
      </c>
      <c r="S17" s="35" t="str">
        <f aca="false">IF(B17="","",B17&amp;"|"&amp;(YEAR(A17)*100+MONTH(A17)))</f>
        <v>P-205|202608</v>
      </c>
      <c r="T17" s="36" t="s">
        <v>92</v>
      </c>
    </row>
    <row r="18" customFormat="false" ht="15" hidden="false" customHeight="false" outlineLevel="0" collapsed="false">
      <c r="A18" s="29" t="n">
        <v>46265</v>
      </c>
      <c r="B18" s="30" t="s">
        <v>101</v>
      </c>
      <c r="C18" s="20" t="str">
        <f aca="false">IF(B18="","",IFERROR(INDEX(Project_Register!$B$6:$B$40,MATCH(B18,Project_Register!$A$6:$A$40,0)),"Unknown ID"))</f>
        <v>SOC 2 Readiness</v>
      </c>
      <c r="D18" s="31" t="n">
        <v>0.29</v>
      </c>
      <c r="E18" s="32" t="n">
        <v>27000</v>
      </c>
      <c r="F18" s="32" t="n">
        <v>120000</v>
      </c>
      <c r="G18" s="33" t="n">
        <v>46472</v>
      </c>
      <c r="H18" s="30" t="s">
        <v>69</v>
      </c>
      <c r="I18" s="34" t="s">
        <v>110</v>
      </c>
      <c r="J18" s="33" t="n">
        <v>46270</v>
      </c>
      <c r="K18" s="21" t="n">
        <f aca="false">IF(OR(B18="",T18="On Hold"),"",MAX(0,MIN(1,(A18-INDEX(Project_Register!$G$6:$G$40,MATCH(B18,Project_Register!$A$6:$A$40,0)))/(INDEX(Project_Register!$H$6:$H$40,MATCH(B18,Project_Register!$A$6:$A$40,0))-INDEX(Project_Register!$G$6:$G$40,MATCH(B18,Project_Register!$A$6:$A$40,0))))))</f>
        <v>0.305369127516779</v>
      </c>
      <c r="L18" s="22" t="n">
        <f aca="false">IF(OR(B18="",D18="",T18="On Hold"),"",ROUND((D18-K18)*100,0))</f>
        <v>-2</v>
      </c>
      <c r="M18" s="21" t="n">
        <f aca="false">IF(OR(B18="",F18=""),"",F18/INDEX(Project_Register!$I$6:$I$40,MATCH(B18,Project_Register!$A$6:$A$40,0)))</f>
        <v>1</v>
      </c>
      <c r="N18" s="22" t="n">
        <f aca="false">IF(OR(B18="",G18="",T18="On Hold"),"",G18-INDEX(Project_Register!$H$6:$H$40,MATCH(B18,Project_Register!$A$6:$A$40,0)))</f>
        <v>0</v>
      </c>
      <c r="O18" s="23" t="str">
        <f aca="false">IF(B18="","",IF(D18="","No update",IF(AND(T18&lt;&gt;"Active",D18&lt;1),T18,IF(D18&gt;=1,"Complete",IF(OR(L18&lt;=SV_Red,M18&gt;Cost_Red,N18&gt;Slip_Red),"Red",IF(OR(L18&lt;=SV_Amber,M18&gt;Cost_Amber,N18&gt;Slip_Amber),"Amber","Green"))))))</f>
        <v>Green</v>
      </c>
      <c r="P18" s="23" t="str">
        <f aca="false">IF(AND(H18="Green",OR(O18="Amber",O18="Red")),"Watermelon","")</f>
        <v/>
      </c>
      <c r="Q18" s="23" t="str">
        <f aca="false">IF(B18="","",IF(J18="","Missing",IF(J18&gt;A18+UpdateDue,"Late","On time")))</f>
        <v>On time</v>
      </c>
      <c r="R18" s="23" t="str">
        <f aca="false">IF(OR(B18="",D18=""),"",IF(COUNTIFS($B$6:$B$400,B18,$A$6:$A$400,EOMONTH(A18,-1))=0,"",IF(D18&lt;SUMIFS($D$6:$D$400,$B$6:$B$400,B18,$A$6:$A$400,EOMONTH(A18,-1)),"Dropped","")))</f>
        <v/>
      </c>
      <c r="S18" s="35" t="str">
        <f aca="false">IF(B18="","",B18&amp;"|"&amp;(YEAR(A18)*100+MONTH(A18)))</f>
        <v>P-206|202608</v>
      </c>
      <c r="T18" s="36" t="s">
        <v>92</v>
      </c>
    </row>
    <row r="19" customFormat="false" ht="15" hidden="false" customHeight="false" outlineLevel="0" collapsed="false">
      <c r="A19" s="29" t="n">
        <v>46265</v>
      </c>
      <c r="B19" s="30" t="s">
        <v>111</v>
      </c>
      <c r="C19" s="20" t="str">
        <f aca="false">IF(B19="","",IFERROR(INDEX(Project_Register!$B$6:$B$40,MATCH(B19,Project_Register!$A$6:$A$40,0)),"Unknown ID"))</f>
        <v>Website Redesign</v>
      </c>
      <c r="D19" s="31" t="n">
        <v>0.18</v>
      </c>
      <c r="E19" s="32" t="n">
        <v>9000</v>
      </c>
      <c r="F19" s="32" t="n">
        <v>70000</v>
      </c>
      <c r="G19" s="33" t="n">
        <v>46416</v>
      </c>
      <c r="H19" s="30" t="s">
        <v>69</v>
      </c>
      <c r="I19" s="34" t="s">
        <v>112</v>
      </c>
      <c r="J19" s="33" t="n">
        <v>46267</v>
      </c>
      <c r="K19" s="21" t="n">
        <f aca="false">IF(OR(B19="",T19="On Hold"),"",MAX(0,MIN(1,(A19-INDEX(Project_Register!$G$6:$G$40,MATCH(B19,Project_Register!$A$6:$A$40,0)))/(INDEX(Project_Register!$H$6:$H$40,MATCH(B19,Project_Register!$A$6:$A$40,0))-INDEX(Project_Register!$G$6:$G$40,MATCH(B19,Project_Register!$A$6:$A$40,0))))))</f>
        <v>0.156424581005587</v>
      </c>
      <c r="L19" s="22" t="n">
        <f aca="false">IF(OR(B19="",D19="",T19="On Hold"),"",ROUND((D19-K19)*100,0))</f>
        <v>2</v>
      </c>
      <c r="M19" s="21" t="n">
        <f aca="false">IF(OR(B19="",F19=""),"",F19/INDEX(Project_Register!$I$6:$I$40,MATCH(B19,Project_Register!$A$6:$A$40,0)))</f>
        <v>1</v>
      </c>
      <c r="N19" s="22" t="n">
        <f aca="false">IF(OR(B19="",G19="",T19="On Hold"),"",G19-INDEX(Project_Register!$H$6:$H$40,MATCH(B19,Project_Register!$A$6:$A$40,0)))</f>
        <v>0</v>
      </c>
      <c r="O19" s="23" t="str">
        <f aca="false">IF(B19="","",IF(D19="","No update",IF(AND(T19&lt;&gt;"Active",D19&lt;1),T19,IF(D19&gt;=1,"Complete",IF(OR(L19&lt;=SV_Red,M19&gt;Cost_Red,N19&gt;Slip_Red),"Red",IF(OR(L19&lt;=SV_Amber,M19&gt;Cost_Amber,N19&gt;Slip_Amber),"Amber","Green"))))))</f>
        <v>Green</v>
      </c>
      <c r="P19" s="23" t="str">
        <f aca="false">IF(AND(H19="Green",OR(O19="Amber",O19="Red")),"Watermelon","")</f>
        <v/>
      </c>
      <c r="Q19" s="23" t="str">
        <f aca="false">IF(B19="","",IF(J19="","Missing",IF(J19&gt;A19+UpdateDue,"Late","On time")))</f>
        <v>On time</v>
      </c>
      <c r="R19" s="23" t="str">
        <f aca="false">IF(OR(B19="",D19=""),"",IF(COUNTIFS($B$6:$B$400,B19,$A$6:$A$400,EOMONTH(A19,-1))=0,"",IF(D19&lt;SUMIFS($D$6:$D$400,$B$6:$B$400,B19,$A$6:$A$400,EOMONTH(A19,-1)),"Dropped","")))</f>
        <v/>
      </c>
      <c r="S19" s="35" t="str">
        <f aca="false">IF(B19="","",B19&amp;"|"&amp;(YEAR(A19)*100+MONTH(A19)))</f>
        <v>P-207|202608</v>
      </c>
      <c r="T19" s="36" t="s">
        <v>92</v>
      </c>
    </row>
    <row r="20" customFormat="false" ht="15" hidden="false" customHeight="false" outlineLevel="0" collapsed="false">
      <c r="A20" s="29" t="n">
        <v>46265</v>
      </c>
      <c r="B20" s="30" t="s">
        <v>103</v>
      </c>
      <c r="C20" s="20" t="str">
        <f aca="false">IF(B20="","",IFERROR(INDEX(Project_Register!$B$6:$B$40,MATCH(B20,Project_Register!$A$6:$A$40,0)),"Unknown ID"))</f>
        <v>Records Digitization</v>
      </c>
      <c r="D20" s="31" t="n">
        <v>0.35</v>
      </c>
      <c r="E20" s="32" t="n">
        <v>17000</v>
      </c>
      <c r="F20" s="32" t="n">
        <v>54000</v>
      </c>
      <c r="G20" s="33" t="n">
        <v>46402</v>
      </c>
      <c r="H20" s="30" t="s">
        <v>69</v>
      </c>
      <c r="I20" s="34" t="s">
        <v>113</v>
      </c>
      <c r="J20" s="33" t="n">
        <v>46269</v>
      </c>
      <c r="K20" s="21" t="n">
        <f aca="false">IF(OR(B20="",T20="On Hold"),"",MAX(0,MIN(1,(A20-INDEX(Project_Register!$G$6:$G$40,MATCH(B20,Project_Register!$A$6:$A$40,0)))/(INDEX(Project_Register!$H$6:$H$40,MATCH(B20,Project_Register!$A$6:$A$40,0))-INDEX(Project_Register!$G$6:$G$40,MATCH(B20,Project_Register!$A$6:$A$40,0))))))</f>
        <v>0.308080808080808</v>
      </c>
      <c r="L20" s="22" t="n">
        <f aca="false">IF(OR(B20="",D20="",T20="On Hold"),"",ROUND((D20-K20)*100,0))</f>
        <v>4</v>
      </c>
      <c r="M20" s="21" t="n">
        <f aca="false">IF(OR(B20="",F20=""),"",F20/INDEX(Project_Register!$I$6:$I$40,MATCH(B20,Project_Register!$A$6:$A$40,0)))</f>
        <v>1</v>
      </c>
      <c r="N20" s="22" t="n">
        <f aca="false">IF(OR(B20="",G20="",T20="On Hold"),"",G20-INDEX(Project_Register!$H$6:$H$40,MATCH(B20,Project_Register!$A$6:$A$40,0)))</f>
        <v>0</v>
      </c>
      <c r="O20" s="23" t="str">
        <f aca="false">IF(B20="","",IF(D20="","No update",IF(AND(T20&lt;&gt;"Active",D20&lt;1),T20,IF(D20&gt;=1,"Complete",IF(OR(L20&lt;=SV_Red,M20&gt;Cost_Red,N20&gt;Slip_Red),"Red",IF(OR(L20&lt;=SV_Amber,M20&gt;Cost_Amber,N20&gt;Slip_Amber),"Amber","Green"))))))</f>
        <v>Green</v>
      </c>
      <c r="P20" s="23" t="str">
        <f aca="false">IF(AND(H20="Green",OR(O20="Amber",O20="Red")),"Watermelon","")</f>
        <v/>
      </c>
      <c r="Q20" s="23" t="str">
        <f aca="false">IF(B20="","",IF(J20="","Missing",IF(J20&gt;A20+UpdateDue,"Late","On time")))</f>
        <v>On time</v>
      </c>
      <c r="R20" s="23" t="str">
        <f aca="false">IF(OR(B20="",D20=""),"",IF(COUNTIFS($B$6:$B$400,B20,$A$6:$A$400,EOMONTH(A20,-1))=0,"",IF(D20&lt;SUMIFS($D$6:$D$400,$B$6:$B$400,B20,$A$6:$A$400,EOMONTH(A20,-1)),"Dropped","")))</f>
        <v/>
      </c>
      <c r="S20" s="35" t="str">
        <f aca="false">IF(B20="","",B20&amp;"|"&amp;(YEAR(A20)*100+MONTH(A20)))</f>
        <v>P-209|202608</v>
      </c>
      <c r="T20" s="36" t="s">
        <v>92</v>
      </c>
    </row>
    <row r="21" customFormat="false" ht="15" hidden="false" customHeight="false" outlineLevel="0" collapsed="false">
      <c r="A21" s="29" t="n">
        <v>46265</v>
      </c>
      <c r="B21" s="30" t="s">
        <v>114</v>
      </c>
      <c r="C21" s="20" t="str">
        <f aca="false">IF(B21="","",IFERROR(INDEX(Project_Register!$B$6:$B$40,MATCH(B21,Project_Register!$A$6:$A$40,0)),"Unknown ID"))</f>
        <v>Parking Lot Resurfacing</v>
      </c>
      <c r="D21" s="31" t="n">
        <v>0.25</v>
      </c>
      <c r="E21" s="32" t="n">
        <v>20000</v>
      </c>
      <c r="F21" s="32" t="n">
        <v>85000</v>
      </c>
      <c r="G21" s="33" t="n">
        <v>46339</v>
      </c>
      <c r="H21" s="30" t="s">
        <v>69</v>
      </c>
      <c r="I21" s="34" t="s">
        <v>115</v>
      </c>
      <c r="J21" s="33" t="n">
        <v>46268</v>
      </c>
      <c r="K21" s="21" t="n">
        <f aca="false">IF(OR(B21="",T21="On Hold"),"",MAX(0,MIN(1,(A21-INDEX(Project_Register!$G$6:$G$40,MATCH(B21,Project_Register!$A$6:$A$40,0)))/(INDEX(Project_Register!$H$6:$H$40,MATCH(B21,Project_Register!$A$6:$A$40,0))-INDEX(Project_Register!$G$6:$G$40,MATCH(B21,Project_Register!$A$6:$A$40,0))))))</f>
        <v>0.274509803921569</v>
      </c>
      <c r="L21" s="22" t="n">
        <f aca="false">IF(OR(B21="",D21="",T21="On Hold"),"",ROUND((D21-K21)*100,0))</f>
        <v>-2</v>
      </c>
      <c r="M21" s="21" t="n">
        <f aca="false">IF(OR(B21="",F21=""),"",F21/INDEX(Project_Register!$I$6:$I$40,MATCH(B21,Project_Register!$A$6:$A$40,0)))</f>
        <v>1</v>
      </c>
      <c r="N21" s="22" t="n">
        <f aca="false">IF(OR(B21="",G21="",T21="On Hold"),"",G21-INDEX(Project_Register!$H$6:$H$40,MATCH(B21,Project_Register!$A$6:$A$40,0)))</f>
        <v>0</v>
      </c>
      <c r="O21" s="23" t="str">
        <f aca="false">IF(B21="","",IF(D21="","No update",IF(AND(T21&lt;&gt;"Active",D21&lt;1),T21,IF(D21&gt;=1,"Complete",IF(OR(L21&lt;=SV_Red,M21&gt;Cost_Red,N21&gt;Slip_Red),"Red",IF(OR(L21&lt;=SV_Amber,M21&gt;Cost_Amber,N21&gt;Slip_Amber),"Amber","Green"))))))</f>
        <v>Green</v>
      </c>
      <c r="P21" s="23" t="str">
        <f aca="false">IF(AND(H21="Green",OR(O21="Amber",O21="Red")),"Watermelon","")</f>
        <v/>
      </c>
      <c r="Q21" s="23" t="str">
        <f aca="false">IF(B21="","",IF(J21="","Missing",IF(J21&gt;A21+UpdateDue,"Late","On time")))</f>
        <v>On time</v>
      </c>
      <c r="R21" s="23" t="str">
        <f aca="false">IF(OR(B21="",D21=""),"",IF(COUNTIFS($B$6:$B$400,B21,$A$6:$A$400,EOMONTH(A21,-1))=0,"",IF(D21&lt;SUMIFS($D$6:$D$400,$B$6:$B$400,B21,$A$6:$A$400,EOMONTH(A21,-1)),"Dropped","")))</f>
        <v/>
      </c>
      <c r="S21" s="35" t="str">
        <f aca="false">IF(B21="","",B21&amp;"|"&amp;(YEAR(A21)*100+MONTH(A21)))</f>
        <v>P-210|202608</v>
      </c>
      <c r="T21" s="36" t="s">
        <v>92</v>
      </c>
    </row>
    <row r="22" customFormat="false" ht="23.85" hidden="false" customHeight="false" outlineLevel="0" collapsed="false">
      <c r="A22" s="29" t="n">
        <v>46295</v>
      </c>
      <c r="B22" s="30" t="s">
        <v>90</v>
      </c>
      <c r="C22" s="20" t="str">
        <f aca="false">IF(B22="","",IFERROR(INDEX(Project_Register!$B$6:$B$40,MATCH(B22,Project_Register!$A$6:$A$40,0)),"Unknown ID"))</f>
        <v>CRM Data Migration</v>
      </c>
      <c r="D22" s="31" t="n">
        <v>0.48</v>
      </c>
      <c r="E22" s="32" t="n">
        <v>84000</v>
      </c>
      <c r="F22" s="32" t="n">
        <v>182000</v>
      </c>
      <c r="G22" s="33" t="n">
        <v>46374</v>
      </c>
      <c r="H22" s="30" t="s">
        <v>69</v>
      </c>
      <c r="I22" s="34" t="s">
        <v>116</v>
      </c>
      <c r="J22" s="33" t="n">
        <v>46297</v>
      </c>
      <c r="K22" s="21" t="n">
        <f aca="false">IF(OR(B22="",T22="On Hold"),"",MAX(0,MIN(1,(A22-INDEX(Project_Register!$G$6:$G$40,MATCH(B22,Project_Register!$A$6:$A$40,0)))/(INDEX(Project_Register!$H$6:$H$40,MATCH(B22,Project_Register!$A$6:$A$40,0))-INDEX(Project_Register!$G$6:$G$40,MATCH(B22,Project_Register!$A$6:$A$40,0))))))</f>
        <v>0.605</v>
      </c>
      <c r="L22" s="22" t="n">
        <f aca="false">IF(OR(B22="",D22="",T22="On Hold"),"",ROUND((D22-K22)*100,0))</f>
        <v>-13</v>
      </c>
      <c r="M22" s="21" t="n">
        <f aca="false">IF(OR(B22="",F22=""),"",F22/INDEX(Project_Register!$I$6:$I$40,MATCH(B22,Project_Register!$A$6:$A$40,0)))</f>
        <v>1.01111111111111</v>
      </c>
      <c r="N22" s="22" t="n">
        <f aca="false">IF(OR(B22="",G22="",T22="On Hold"),"",G22-INDEX(Project_Register!$H$6:$H$40,MATCH(B22,Project_Register!$A$6:$A$40,0)))</f>
        <v>0</v>
      </c>
      <c r="O22" s="23" t="str">
        <f aca="false">IF(B22="","",IF(D22="","No update",IF(AND(T22&lt;&gt;"Active",D22&lt;1),T22,IF(D22&gt;=1,"Complete",IF(OR(L22&lt;=SV_Red,M22&gt;Cost_Red,N22&gt;Slip_Red),"Red",IF(OR(L22&lt;=SV_Amber,M22&gt;Cost_Amber,N22&gt;Slip_Amber),"Amber","Green"))))))</f>
        <v>Amber</v>
      </c>
      <c r="P22" s="23" t="str">
        <f aca="false">IF(AND(H22="Green",OR(O22="Amber",O22="Red")),"Watermelon","")</f>
        <v>Watermelon</v>
      </c>
      <c r="Q22" s="23" t="str">
        <f aca="false">IF(B22="","",IF(J22="","Missing",IF(J22&gt;A22+UpdateDue,"Late","On time")))</f>
        <v>On time</v>
      </c>
      <c r="R22" s="23" t="str">
        <f aca="false">IF(OR(B22="",D22=""),"",IF(COUNTIFS($B$6:$B$400,B22,$A$6:$A$400,EOMONTH(A22,-1))=0,"",IF(D22&lt;SUMIFS($D$6:$D$400,$B$6:$B$400,B22,$A$6:$A$400,EOMONTH(A22,-1)),"Dropped","")))</f>
        <v/>
      </c>
      <c r="S22" s="35" t="str">
        <f aca="false">IF(B22="","",B22&amp;"|"&amp;(YEAR(A22)*100+MONTH(A22)))</f>
        <v>P-201|202609</v>
      </c>
      <c r="T22" s="36" t="s">
        <v>92</v>
      </c>
    </row>
    <row r="23" customFormat="false" ht="15" hidden="false" customHeight="false" outlineLevel="0" collapsed="false">
      <c r="A23" s="29" t="n">
        <v>46295</v>
      </c>
      <c r="B23" s="30" t="s">
        <v>93</v>
      </c>
      <c r="C23" s="20" t="str">
        <f aca="false">IF(B23="","",IFERROR(INDEX(Project_Register!$B$6:$B$40,MATCH(B23,Project_Register!$A$6:$A$40,0)),"Unknown ID"))</f>
        <v>Warehouse Label Printer Rollout</v>
      </c>
      <c r="D23" s="31" t="n">
        <v>0.62</v>
      </c>
      <c r="E23" s="32" t="n">
        <v>26000</v>
      </c>
      <c r="F23" s="32" t="n">
        <v>41000</v>
      </c>
      <c r="G23" s="33" t="n">
        <v>46346</v>
      </c>
      <c r="H23" s="30" t="s">
        <v>69</v>
      </c>
      <c r="I23" s="34" t="s">
        <v>117</v>
      </c>
      <c r="J23" s="33" t="n">
        <v>46296</v>
      </c>
      <c r="K23" s="21" t="n">
        <f aca="false">IF(OR(B23="",T23="On Hold"),"",MAX(0,MIN(1,(A23-INDEX(Project_Register!$G$6:$G$40,MATCH(B23,Project_Register!$A$6:$A$40,0)))/(INDEX(Project_Register!$H$6:$H$40,MATCH(B23,Project_Register!$A$6:$A$40,0))-INDEX(Project_Register!$G$6:$G$40,MATCH(B23,Project_Register!$A$6:$A$40,0))))))</f>
        <v>0.627737226277372</v>
      </c>
      <c r="L23" s="22" t="n">
        <f aca="false">IF(OR(B23="",D23="",T23="On Hold"),"",ROUND((D23-K23)*100,0))</f>
        <v>-1</v>
      </c>
      <c r="M23" s="21" t="n">
        <f aca="false">IF(OR(B23="",F23=""),"",F23/INDEX(Project_Register!$I$6:$I$40,MATCH(B23,Project_Register!$A$6:$A$40,0)))</f>
        <v>0.976190476190476</v>
      </c>
      <c r="N23" s="22" t="n">
        <f aca="false">IF(OR(B23="",G23="",T23="On Hold"),"",G23-INDEX(Project_Register!$H$6:$H$40,MATCH(B23,Project_Register!$A$6:$A$40,0)))</f>
        <v>0</v>
      </c>
      <c r="O23" s="23" t="str">
        <f aca="false">IF(B23="","",IF(D23="","No update",IF(AND(T23&lt;&gt;"Active",D23&lt;1),T23,IF(D23&gt;=1,"Complete",IF(OR(L23&lt;=SV_Red,M23&gt;Cost_Red,N23&gt;Slip_Red),"Red",IF(OR(L23&lt;=SV_Amber,M23&gt;Cost_Amber,N23&gt;Slip_Amber),"Amber","Green"))))))</f>
        <v>Green</v>
      </c>
      <c r="P23" s="23" t="str">
        <f aca="false">IF(AND(H23="Green",OR(O23="Amber",O23="Red")),"Watermelon","")</f>
        <v/>
      </c>
      <c r="Q23" s="23" t="str">
        <f aca="false">IF(B23="","",IF(J23="","Missing",IF(J23&gt;A23+UpdateDue,"Late","On time")))</f>
        <v>On time</v>
      </c>
      <c r="R23" s="23" t="str">
        <f aca="false">IF(OR(B23="",D23=""),"",IF(COUNTIFS($B$6:$B$400,B23,$A$6:$A$400,EOMONTH(A23,-1))=0,"",IF(D23&lt;SUMIFS($D$6:$D$400,$B$6:$B$400,B23,$A$6:$A$400,EOMONTH(A23,-1)),"Dropped","")))</f>
        <v/>
      </c>
      <c r="S23" s="35" t="str">
        <f aca="false">IF(B23="","",B23&amp;"|"&amp;(YEAR(A23)*100+MONTH(A23)))</f>
        <v>P-202|202609</v>
      </c>
      <c r="T23" s="36" t="s">
        <v>92</v>
      </c>
    </row>
    <row r="24" customFormat="false" ht="15" hidden="false" customHeight="false" outlineLevel="0" collapsed="false">
      <c r="A24" s="29" t="n">
        <v>46295</v>
      </c>
      <c r="B24" s="30" t="s">
        <v>95</v>
      </c>
      <c r="C24" s="20" t="str">
        <f aca="false">IF(B24="","",IFERROR(INDEX(Project_Register!$B$6:$B$40,MATCH(B24,Project_Register!$A$6:$A$40,0)),"Unknown ID"))</f>
        <v>HR Onboarding Portal</v>
      </c>
      <c r="D24" s="31" t="n">
        <v>0.65</v>
      </c>
      <c r="E24" s="32" t="n">
        <v>61000</v>
      </c>
      <c r="F24" s="32" t="n">
        <v>99000</v>
      </c>
      <c r="G24" s="33" t="n">
        <v>46367</v>
      </c>
      <c r="H24" s="30" t="s">
        <v>70</v>
      </c>
      <c r="I24" s="34" t="s">
        <v>118</v>
      </c>
      <c r="J24" s="33" t="n">
        <v>46299</v>
      </c>
      <c r="K24" s="21" t="n">
        <f aca="false">IF(OR(B24="",T24="On Hold"),"",MAX(0,MIN(1,(A24-INDEX(Project_Register!$G$6:$G$40,MATCH(B24,Project_Register!$A$6:$A$40,0)))/(INDEX(Project_Register!$H$6:$H$40,MATCH(B24,Project_Register!$A$6:$A$40,0))-INDEX(Project_Register!$G$6:$G$40,MATCH(B24,Project_Register!$A$6:$A$40,0))))))</f>
        <v>0.67420814479638</v>
      </c>
      <c r="L24" s="22" t="n">
        <f aca="false">IF(OR(B24="",D24="",T24="On Hold"),"",ROUND((D24-K24)*100,0))</f>
        <v>-2</v>
      </c>
      <c r="M24" s="21" t="n">
        <f aca="false">IF(OR(B24="",F24=""),"",F24/INDEX(Project_Register!$I$6:$I$40,MATCH(B24,Project_Register!$A$6:$A$40,0)))</f>
        <v>1.04210526315789</v>
      </c>
      <c r="N24" s="22" t="n">
        <f aca="false">IF(OR(B24="",G24="",T24="On Hold"),"",G24-INDEX(Project_Register!$H$6:$H$40,MATCH(B24,Project_Register!$A$6:$A$40,0)))</f>
        <v>0</v>
      </c>
      <c r="O24" s="23" t="str">
        <f aca="false">IF(B24="","",IF(D24="","No update",IF(AND(T24&lt;&gt;"Active",D24&lt;1),T24,IF(D24&gt;=1,"Complete",IF(OR(L24&lt;=SV_Red,M24&gt;Cost_Red,N24&gt;Slip_Red),"Red",IF(OR(L24&lt;=SV_Amber,M24&gt;Cost_Amber,N24&gt;Slip_Amber),"Amber","Green"))))))</f>
        <v>Amber</v>
      </c>
      <c r="P24" s="23" t="str">
        <f aca="false">IF(AND(H24="Green",OR(O24="Amber",O24="Red")),"Watermelon","")</f>
        <v/>
      </c>
      <c r="Q24" s="23" t="str">
        <f aca="false">IF(B24="","",IF(J24="","Missing",IF(J24&gt;A24+UpdateDue,"Late","On time")))</f>
        <v>On time</v>
      </c>
      <c r="R24" s="23" t="str">
        <f aca="false">IF(OR(B24="",D24=""),"",IF(COUNTIFS($B$6:$B$400,B24,$A$6:$A$400,EOMONTH(A24,-1))=0,"",IF(D24&lt;SUMIFS($D$6:$D$400,$B$6:$B$400,B24,$A$6:$A$400,EOMONTH(A24,-1)),"Dropped","")))</f>
        <v/>
      </c>
      <c r="S24" s="35" t="str">
        <f aca="false">IF(B24="","",B24&amp;"|"&amp;(YEAR(A24)*100+MONTH(A24)))</f>
        <v>P-203|202609</v>
      </c>
      <c r="T24" s="36" t="s">
        <v>92</v>
      </c>
    </row>
    <row r="25" customFormat="false" ht="15" hidden="false" customHeight="false" outlineLevel="0" collapsed="false">
      <c r="A25" s="29" t="n">
        <v>46295</v>
      </c>
      <c r="B25" s="30" t="s">
        <v>97</v>
      </c>
      <c r="C25" s="20" t="str">
        <f aca="false">IF(B25="","",IFERROR(INDEX(Project_Register!$B$6:$B$40,MATCH(B25,Project_Register!$A$6:$A$40,0)),"Unknown ID"))</f>
        <v>HQ Lobby Refresh</v>
      </c>
      <c r="D25" s="31" t="n">
        <v>1</v>
      </c>
      <c r="E25" s="32" t="n">
        <v>58500</v>
      </c>
      <c r="F25" s="32" t="n">
        <v>58500</v>
      </c>
      <c r="G25" s="33" t="n">
        <v>46290</v>
      </c>
      <c r="H25" s="30" t="s">
        <v>69</v>
      </c>
      <c r="I25" s="34" t="s">
        <v>119</v>
      </c>
      <c r="J25" s="33" t="n">
        <v>46296</v>
      </c>
      <c r="K25" s="21" t="n">
        <f aca="false">IF(OR(B25="",T25="On Hold"),"",MAX(0,MIN(1,(A25-INDEX(Project_Register!$G$6:$G$40,MATCH(B25,Project_Register!$A$6:$A$40,0)))/(INDEX(Project_Register!$H$6:$H$40,MATCH(B25,Project_Register!$A$6:$A$40,0))-INDEX(Project_Register!$G$6:$G$40,MATCH(B25,Project_Register!$A$6:$A$40,0))))))</f>
        <v>1</v>
      </c>
      <c r="L25" s="22" t="n">
        <f aca="false">IF(OR(B25="",D25="",T25="On Hold"),"",ROUND((D25-K25)*100,0))</f>
        <v>0</v>
      </c>
      <c r="M25" s="21" t="n">
        <f aca="false">IF(OR(B25="",F25=""),"",F25/INDEX(Project_Register!$I$6:$I$40,MATCH(B25,Project_Register!$A$6:$A$40,0)))</f>
        <v>0.975</v>
      </c>
      <c r="N25" s="22" t="n">
        <f aca="false">IF(OR(B25="",G25="",T25="On Hold"),"",G25-INDEX(Project_Register!$H$6:$H$40,MATCH(B25,Project_Register!$A$6:$A$40,0)))</f>
        <v>0</v>
      </c>
      <c r="O25" s="23" t="str">
        <f aca="false">IF(B25="","",IF(D25="","No update",IF(AND(T25&lt;&gt;"Active",D25&lt;1),T25,IF(D25&gt;=1,"Complete",IF(OR(L25&lt;=SV_Red,M25&gt;Cost_Red,N25&gt;Slip_Red),"Red",IF(OR(L25&lt;=SV_Amber,M25&gt;Cost_Amber,N25&gt;Slip_Amber),"Amber","Green"))))))</f>
        <v>Complete</v>
      </c>
      <c r="P25" s="23" t="str">
        <f aca="false">IF(AND(H25="Green",OR(O25="Amber",O25="Red")),"Watermelon","")</f>
        <v/>
      </c>
      <c r="Q25" s="23" t="str">
        <f aca="false">IF(B25="","",IF(J25="","Missing",IF(J25&gt;A25+UpdateDue,"Late","On time")))</f>
        <v>On time</v>
      </c>
      <c r="R25" s="23" t="str">
        <f aca="false">IF(OR(B25="",D25=""),"",IF(COUNTIFS($B$6:$B$400,B25,$A$6:$A$400,EOMONTH(A25,-1))=0,"",IF(D25&lt;SUMIFS($D$6:$D$400,$B$6:$B$400,B25,$A$6:$A$400,EOMONTH(A25,-1)),"Dropped","")))</f>
        <v/>
      </c>
      <c r="S25" s="35" t="str">
        <f aca="false">IF(B25="","",B25&amp;"|"&amp;(YEAR(A25)*100+MONTH(A25)))</f>
        <v>P-204|202609</v>
      </c>
      <c r="T25" s="36" t="s">
        <v>120</v>
      </c>
    </row>
    <row r="26" customFormat="false" ht="15" hidden="false" customHeight="false" outlineLevel="0" collapsed="false">
      <c r="A26" s="29" t="n">
        <v>46295</v>
      </c>
      <c r="B26" s="30" t="s">
        <v>99</v>
      </c>
      <c r="C26" s="20" t="str">
        <f aca="false">IF(B26="","",IFERROR(INDEX(Project_Register!$B$6:$B$40,MATCH(B26,Project_Register!$A$6:$A$40,0)),"Unknown ID"))</f>
        <v>Fleet GPS Rollout</v>
      </c>
      <c r="D26" s="31" t="n">
        <v>0.62</v>
      </c>
      <c r="E26" s="32" t="n">
        <v>52000</v>
      </c>
      <c r="F26" s="32" t="n">
        <v>78000</v>
      </c>
      <c r="G26" s="33" t="n">
        <v>46346</v>
      </c>
      <c r="H26" s="30" t="s">
        <v>71</v>
      </c>
      <c r="I26" s="34" t="s">
        <v>121</v>
      </c>
      <c r="J26" s="33" t="n">
        <v>46297</v>
      </c>
      <c r="K26" s="21" t="n">
        <f aca="false">IF(OR(B26="",T26="On Hold"),"",MAX(0,MIN(1,(A26-INDEX(Project_Register!$G$6:$G$40,MATCH(B26,Project_Register!$A$6:$A$40,0)))/(INDEX(Project_Register!$H$6:$H$40,MATCH(B26,Project_Register!$A$6:$A$40,0))-INDEX(Project_Register!$G$6:$G$40,MATCH(B26,Project_Register!$A$6:$A$40,0))))))</f>
        <v>0.724770642201835</v>
      </c>
      <c r="L26" s="22" t="n">
        <f aca="false">IF(OR(B26="",D26="",T26="On Hold"),"",ROUND((D26-K26)*100,0))</f>
        <v>-10</v>
      </c>
      <c r="M26" s="21" t="n">
        <f aca="false">IF(OR(B26="",F26=""),"",F26/INDEX(Project_Register!$I$6:$I$40,MATCH(B26,Project_Register!$A$6:$A$40,0)))</f>
        <v>1.04</v>
      </c>
      <c r="N26" s="22" t="n">
        <f aca="false">IF(OR(B26="",G26="",T26="On Hold"),"",G26-INDEX(Project_Register!$H$6:$H$40,MATCH(B26,Project_Register!$A$6:$A$40,0)))</f>
        <v>21</v>
      </c>
      <c r="O26" s="23" t="str">
        <f aca="false">IF(B26="","",IF(D26="","No update",IF(AND(T26&lt;&gt;"Active",D26&lt;1),T26,IF(D26&gt;=1,"Complete",IF(OR(L26&lt;=SV_Red,M26&gt;Cost_Red,N26&gt;Slip_Red),"Red",IF(OR(L26&lt;=SV_Amber,M26&gt;Cost_Amber,N26&gt;Slip_Amber),"Amber","Green"))))))</f>
        <v>Amber</v>
      </c>
      <c r="P26" s="23" t="str">
        <f aca="false">IF(AND(H26="Green",OR(O26="Amber",O26="Red")),"Watermelon","")</f>
        <v/>
      </c>
      <c r="Q26" s="23" t="str">
        <f aca="false">IF(B26="","",IF(J26="","Missing",IF(J26&gt;A26+UpdateDue,"Late","On time")))</f>
        <v>On time</v>
      </c>
      <c r="R26" s="23" t="str">
        <f aca="false">IF(OR(B26="",D26=""),"",IF(COUNTIFS($B$6:$B$400,B26,$A$6:$A$400,EOMONTH(A26,-1))=0,"",IF(D26&lt;SUMIFS($D$6:$D$400,$B$6:$B$400,B26,$A$6:$A$400,EOMONTH(A26,-1)),"Dropped","")))</f>
        <v/>
      </c>
      <c r="S26" s="35" t="str">
        <f aca="false">IF(B26="","",B26&amp;"|"&amp;(YEAR(A26)*100+MONTH(A26)))</f>
        <v>P-205|202609</v>
      </c>
      <c r="T26" s="36" t="s">
        <v>92</v>
      </c>
    </row>
    <row r="27" customFormat="false" ht="15" hidden="false" customHeight="false" outlineLevel="0" collapsed="false">
      <c r="A27" s="29" t="n">
        <v>46295</v>
      </c>
      <c r="B27" s="30" t="s">
        <v>101</v>
      </c>
      <c r="C27" s="20" t="str">
        <f aca="false">IF(B27="","",IFERROR(INDEX(Project_Register!$B$6:$B$40,MATCH(B27,Project_Register!$A$6:$A$40,0)),"Unknown ID"))</f>
        <v>SOC 2 Readiness</v>
      </c>
      <c r="D27" s="31" t="n">
        <v>0.35</v>
      </c>
      <c r="E27" s="32" t="n">
        <v>40000</v>
      </c>
      <c r="F27" s="32" t="n">
        <v>118000</v>
      </c>
      <c r="G27" s="33" t="n">
        <v>46472</v>
      </c>
      <c r="H27" s="30" t="s">
        <v>70</v>
      </c>
      <c r="I27" s="34" t="s">
        <v>122</v>
      </c>
      <c r="J27" s="33" t="n">
        <v>46298</v>
      </c>
      <c r="K27" s="21" t="n">
        <f aca="false">IF(OR(B27="",T27="On Hold"),"",MAX(0,MIN(1,(A27-INDEX(Project_Register!$G$6:$G$40,MATCH(B27,Project_Register!$A$6:$A$40,0)))/(INDEX(Project_Register!$H$6:$H$40,MATCH(B27,Project_Register!$A$6:$A$40,0))-INDEX(Project_Register!$G$6:$G$40,MATCH(B27,Project_Register!$A$6:$A$40,0))))))</f>
        <v>0.406040268456376</v>
      </c>
      <c r="L27" s="22" t="n">
        <f aca="false">IF(OR(B27="",D27="",T27="On Hold"),"",ROUND((D27-K27)*100,0))</f>
        <v>-6</v>
      </c>
      <c r="M27" s="21" t="n">
        <f aca="false">IF(OR(B27="",F27=""),"",F27/INDEX(Project_Register!$I$6:$I$40,MATCH(B27,Project_Register!$A$6:$A$40,0)))</f>
        <v>0.983333333333333</v>
      </c>
      <c r="N27" s="22" t="n">
        <f aca="false">IF(OR(B27="",G27="",T27="On Hold"),"",G27-INDEX(Project_Register!$H$6:$H$40,MATCH(B27,Project_Register!$A$6:$A$40,0)))</f>
        <v>0</v>
      </c>
      <c r="O27" s="23" t="str">
        <f aca="false">IF(B27="","",IF(D27="","No update",IF(AND(T27&lt;&gt;"Active",D27&lt;1),T27,IF(D27&gt;=1,"Complete",IF(OR(L27&lt;=SV_Red,M27&gt;Cost_Red,N27&gt;Slip_Red),"Red",IF(OR(L27&lt;=SV_Amber,M27&gt;Cost_Amber,N27&gt;Slip_Amber),"Amber","Green"))))))</f>
        <v>Amber</v>
      </c>
      <c r="P27" s="23" t="str">
        <f aca="false">IF(AND(H27="Green",OR(O27="Amber",O27="Red")),"Watermelon","")</f>
        <v/>
      </c>
      <c r="Q27" s="23" t="str">
        <f aca="false">IF(B27="","",IF(J27="","Missing",IF(J27&gt;A27+UpdateDue,"Late","On time")))</f>
        <v>On time</v>
      </c>
      <c r="R27" s="23" t="str">
        <f aca="false">IF(OR(B27="",D27=""),"",IF(COUNTIFS($B$6:$B$400,B27,$A$6:$A$400,EOMONTH(A27,-1))=0,"",IF(D27&lt;SUMIFS($D$6:$D$400,$B$6:$B$400,B27,$A$6:$A$400,EOMONTH(A27,-1)),"Dropped","")))</f>
        <v/>
      </c>
      <c r="S27" s="35" t="str">
        <f aca="false">IF(B27="","",B27&amp;"|"&amp;(YEAR(A27)*100+MONTH(A27)))</f>
        <v>P-206|202609</v>
      </c>
      <c r="T27" s="36" t="s">
        <v>92</v>
      </c>
    </row>
    <row r="28" customFormat="false" ht="15" hidden="false" customHeight="false" outlineLevel="0" collapsed="false">
      <c r="A28" s="29" t="n">
        <v>46295</v>
      </c>
      <c r="B28" s="30" t="s">
        <v>111</v>
      </c>
      <c r="C28" s="20" t="str">
        <f aca="false">IF(B28="","",IFERROR(INDEX(Project_Register!$B$6:$B$40,MATCH(B28,Project_Register!$A$6:$A$40,0)),"Unknown ID"))</f>
        <v>Website Redesign</v>
      </c>
      <c r="D28" s="31" t="n">
        <v>0.35</v>
      </c>
      <c r="E28" s="32" t="n">
        <v>21000</v>
      </c>
      <c r="F28" s="32" t="n">
        <v>70000</v>
      </c>
      <c r="G28" s="33" t="n">
        <v>46416</v>
      </c>
      <c r="H28" s="30" t="s">
        <v>69</v>
      </c>
      <c r="I28" s="34" t="s">
        <v>123</v>
      </c>
      <c r="J28" s="33" t="n">
        <v>46298</v>
      </c>
      <c r="K28" s="21" t="n">
        <f aca="false">IF(OR(B28="",T28="On Hold"),"",MAX(0,MIN(1,(A28-INDEX(Project_Register!$G$6:$G$40,MATCH(B28,Project_Register!$A$6:$A$40,0)))/(INDEX(Project_Register!$H$6:$H$40,MATCH(B28,Project_Register!$A$6:$A$40,0))-INDEX(Project_Register!$G$6:$G$40,MATCH(B28,Project_Register!$A$6:$A$40,0))))))</f>
        <v>0.324022346368715</v>
      </c>
      <c r="L28" s="22" t="n">
        <f aca="false">IF(OR(B28="",D28="",T28="On Hold"),"",ROUND((D28-K28)*100,0))</f>
        <v>3</v>
      </c>
      <c r="M28" s="21" t="n">
        <f aca="false">IF(OR(B28="",F28=""),"",F28/INDEX(Project_Register!$I$6:$I$40,MATCH(B28,Project_Register!$A$6:$A$40,0)))</f>
        <v>1</v>
      </c>
      <c r="N28" s="22" t="n">
        <f aca="false">IF(OR(B28="",G28="",T28="On Hold"),"",G28-INDEX(Project_Register!$H$6:$H$40,MATCH(B28,Project_Register!$A$6:$A$40,0)))</f>
        <v>0</v>
      </c>
      <c r="O28" s="23" t="str">
        <f aca="false">IF(B28="","",IF(D28="","No update",IF(AND(T28&lt;&gt;"Active",D28&lt;1),T28,IF(D28&gt;=1,"Complete",IF(OR(L28&lt;=SV_Red,M28&gt;Cost_Red,N28&gt;Slip_Red),"Red",IF(OR(L28&lt;=SV_Amber,M28&gt;Cost_Amber,N28&gt;Slip_Amber),"Amber","Green"))))))</f>
        <v>Green</v>
      </c>
      <c r="P28" s="23" t="str">
        <f aca="false">IF(AND(H28="Green",OR(O28="Amber",O28="Red")),"Watermelon","")</f>
        <v/>
      </c>
      <c r="Q28" s="23" t="str">
        <f aca="false">IF(B28="","",IF(J28="","Missing",IF(J28&gt;A28+UpdateDue,"Late","On time")))</f>
        <v>On time</v>
      </c>
      <c r="R28" s="23" t="str">
        <f aca="false">IF(OR(B28="",D28=""),"",IF(COUNTIFS($B$6:$B$400,B28,$A$6:$A$400,EOMONTH(A28,-1))=0,"",IF(D28&lt;SUMIFS($D$6:$D$400,$B$6:$B$400,B28,$A$6:$A$400,EOMONTH(A28,-1)),"Dropped","")))</f>
        <v/>
      </c>
      <c r="S28" s="35" t="str">
        <f aca="false">IF(B28="","",B28&amp;"|"&amp;(YEAR(A28)*100+MONTH(A28)))</f>
        <v>P-207|202609</v>
      </c>
      <c r="T28" s="36" t="s">
        <v>92</v>
      </c>
    </row>
    <row r="29" customFormat="false" ht="15" hidden="false" customHeight="false" outlineLevel="0" collapsed="false">
      <c r="A29" s="29" t="n">
        <v>46295</v>
      </c>
      <c r="B29" s="30" t="s">
        <v>124</v>
      </c>
      <c r="C29" s="20" t="str">
        <f aca="false">IF(B29="","",IFERROR(INDEX(Project_Register!$B$6:$B$40,MATCH(B29,Project_Register!$A$6:$A$40,0)),"Unknown ID"))</f>
        <v>Phone System to Teams Calling</v>
      </c>
      <c r="D29" s="31" t="n">
        <v>0.25</v>
      </c>
      <c r="E29" s="32" t="n">
        <v>8000</v>
      </c>
      <c r="F29" s="32" t="n">
        <v>38000</v>
      </c>
      <c r="G29" s="33" t="n">
        <v>46360</v>
      </c>
      <c r="H29" s="30" t="s">
        <v>69</v>
      </c>
      <c r="I29" s="34" t="s">
        <v>125</v>
      </c>
      <c r="J29" s="33" t="n">
        <v>46298</v>
      </c>
      <c r="K29" s="21" t="n">
        <f aca="false">IF(OR(B29="",T29="On Hold"),"",MAX(0,MIN(1,(A29-INDEX(Project_Register!$G$6:$G$40,MATCH(B29,Project_Register!$A$6:$A$40,0)))/(INDEX(Project_Register!$H$6:$H$40,MATCH(B29,Project_Register!$A$6:$A$40,0))-INDEX(Project_Register!$G$6:$G$40,MATCH(B29,Project_Register!$A$6:$A$40,0))))))</f>
        <v>0.261363636363636</v>
      </c>
      <c r="L29" s="22" t="n">
        <f aca="false">IF(OR(B29="",D29="",T29="On Hold"),"",ROUND((D29-K29)*100,0))</f>
        <v>-1</v>
      </c>
      <c r="M29" s="21" t="n">
        <f aca="false">IF(OR(B29="",F29=""),"",F29/INDEX(Project_Register!$I$6:$I$40,MATCH(B29,Project_Register!$A$6:$A$40,0)))</f>
        <v>1</v>
      </c>
      <c r="N29" s="22" t="n">
        <f aca="false">IF(OR(B29="",G29="",T29="On Hold"),"",G29-INDEX(Project_Register!$H$6:$H$40,MATCH(B29,Project_Register!$A$6:$A$40,0)))</f>
        <v>0</v>
      </c>
      <c r="O29" s="23" t="str">
        <f aca="false">IF(B29="","",IF(D29="","No update",IF(AND(T29&lt;&gt;"Active",D29&lt;1),T29,IF(D29&gt;=1,"Complete",IF(OR(L29&lt;=SV_Red,M29&gt;Cost_Red,N29&gt;Slip_Red),"Red",IF(OR(L29&lt;=SV_Amber,M29&gt;Cost_Amber,N29&gt;Slip_Amber),"Amber","Green"))))))</f>
        <v>Green</v>
      </c>
      <c r="P29" s="23" t="str">
        <f aca="false">IF(AND(H29="Green",OR(O29="Amber",O29="Red")),"Watermelon","")</f>
        <v/>
      </c>
      <c r="Q29" s="23" t="str">
        <f aca="false">IF(B29="","",IF(J29="","Missing",IF(J29&gt;A29+UpdateDue,"Late","On time")))</f>
        <v>On time</v>
      </c>
      <c r="R29" s="23" t="str">
        <f aca="false">IF(OR(B29="",D29=""),"",IF(COUNTIFS($B$6:$B$400,B29,$A$6:$A$400,EOMONTH(A29,-1))=0,"",IF(D29&lt;SUMIFS($D$6:$D$400,$B$6:$B$400,B29,$A$6:$A$400,EOMONTH(A29,-1)),"Dropped","")))</f>
        <v/>
      </c>
      <c r="S29" s="35" t="str">
        <f aca="false">IF(B29="","",B29&amp;"|"&amp;(YEAR(A29)*100+MONTH(A29)))</f>
        <v>P-208|202609</v>
      </c>
      <c r="T29" s="36" t="s">
        <v>92</v>
      </c>
    </row>
    <row r="30" customFormat="false" ht="15" hidden="false" customHeight="false" outlineLevel="0" collapsed="false">
      <c r="A30" s="29" t="n">
        <v>46295</v>
      </c>
      <c r="B30" s="30" t="s">
        <v>103</v>
      </c>
      <c r="C30" s="20" t="str">
        <f aca="false">IF(B30="","",IFERROR(INDEX(Project_Register!$B$6:$B$40,MATCH(B30,Project_Register!$A$6:$A$40,0)),"Unknown ID"))</f>
        <v>Records Digitization</v>
      </c>
      <c r="D30" s="31" t="n">
        <v>0.6</v>
      </c>
      <c r="E30" s="32" t="n">
        <v>31000</v>
      </c>
      <c r="F30" s="32" t="n">
        <v>54000</v>
      </c>
      <c r="G30" s="33" t="n">
        <v>46402</v>
      </c>
      <c r="H30" s="30" t="s">
        <v>69</v>
      </c>
      <c r="I30" s="34" t="s">
        <v>126</v>
      </c>
      <c r="J30" s="33" t="n">
        <v>46298</v>
      </c>
      <c r="K30" s="21" t="n">
        <f aca="false">IF(OR(B30="",T30="On Hold"),"",MAX(0,MIN(1,(A30-INDEX(Project_Register!$G$6:$G$40,MATCH(B30,Project_Register!$A$6:$A$40,0)))/(INDEX(Project_Register!$H$6:$H$40,MATCH(B30,Project_Register!$A$6:$A$40,0))-INDEX(Project_Register!$G$6:$G$40,MATCH(B30,Project_Register!$A$6:$A$40,0))))))</f>
        <v>0.45959595959596</v>
      </c>
      <c r="L30" s="22" t="n">
        <f aca="false">IF(OR(B30="",D30="",T30="On Hold"),"",ROUND((D30-K30)*100,0))</f>
        <v>14</v>
      </c>
      <c r="M30" s="21" t="n">
        <f aca="false">IF(OR(B30="",F30=""),"",F30/INDEX(Project_Register!$I$6:$I$40,MATCH(B30,Project_Register!$A$6:$A$40,0)))</f>
        <v>1</v>
      </c>
      <c r="N30" s="22" t="n">
        <f aca="false">IF(OR(B30="",G30="",T30="On Hold"),"",G30-INDEX(Project_Register!$H$6:$H$40,MATCH(B30,Project_Register!$A$6:$A$40,0)))</f>
        <v>0</v>
      </c>
      <c r="O30" s="23" t="str">
        <f aca="false">IF(B30="","",IF(D30="","No update",IF(AND(T30&lt;&gt;"Active",D30&lt;1),T30,IF(D30&gt;=1,"Complete",IF(OR(L30&lt;=SV_Red,M30&gt;Cost_Red,N30&gt;Slip_Red),"Red",IF(OR(L30&lt;=SV_Amber,M30&gt;Cost_Amber,N30&gt;Slip_Amber),"Amber","Green"))))))</f>
        <v>Green</v>
      </c>
      <c r="P30" s="23" t="str">
        <f aca="false">IF(AND(H30="Green",OR(O30="Amber",O30="Red")),"Watermelon","")</f>
        <v/>
      </c>
      <c r="Q30" s="23" t="str">
        <f aca="false">IF(B30="","",IF(J30="","Missing",IF(J30&gt;A30+UpdateDue,"Late","On time")))</f>
        <v>On time</v>
      </c>
      <c r="R30" s="23" t="str">
        <f aca="false">IF(OR(B30="",D30=""),"",IF(COUNTIFS($B$6:$B$400,B30,$A$6:$A$400,EOMONTH(A30,-1))=0,"",IF(D30&lt;SUMIFS($D$6:$D$400,$B$6:$B$400,B30,$A$6:$A$400,EOMONTH(A30,-1)),"Dropped","")))</f>
        <v/>
      </c>
      <c r="S30" s="35" t="str">
        <f aca="false">IF(B30="","",B30&amp;"|"&amp;(YEAR(A30)*100+MONTH(A30)))</f>
        <v>P-209|202609</v>
      </c>
      <c r="T30" s="36" t="s">
        <v>92</v>
      </c>
    </row>
    <row r="31" customFormat="false" ht="15" hidden="false" customHeight="false" outlineLevel="0" collapsed="false">
      <c r="A31" s="29" t="n">
        <v>46295</v>
      </c>
      <c r="B31" s="30" t="s">
        <v>114</v>
      </c>
      <c r="C31" s="20" t="str">
        <f aca="false">IF(B31="","",IFERROR(INDEX(Project_Register!$B$6:$B$40,MATCH(B31,Project_Register!$A$6:$A$40,0)),"Unknown ID"))</f>
        <v>Parking Lot Resurfacing</v>
      </c>
      <c r="D31" s="31" t="n">
        <v>0.25</v>
      </c>
      <c r="E31" s="32" t="n">
        <v>20000</v>
      </c>
      <c r="F31" s="32" t="n">
        <v>85000</v>
      </c>
      <c r="G31" s="33" t="n">
        <v>46339</v>
      </c>
      <c r="H31" s="30" t="s">
        <v>70</v>
      </c>
      <c r="I31" s="34" t="s">
        <v>127</v>
      </c>
      <c r="J31" s="33" t="n">
        <v>46297</v>
      </c>
      <c r="K31" s="21" t="str">
        <f aca="false">IF(OR(B31="",T31="On Hold"),"",MAX(0,MIN(1,(A31-INDEX(Project_Register!$G$6:$G$40,MATCH(B31,Project_Register!$A$6:$A$40,0)))/(INDEX(Project_Register!$H$6:$H$40,MATCH(B31,Project_Register!$A$6:$A$40,0))-INDEX(Project_Register!$G$6:$G$40,MATCH(B31,Project_Register!$A$6:$A$40,0))))))</f>
        <v/>
      </c>
      <c r="L31" s="22" t="str">
        <f aca="false">IF(OR(B31="",D31="",T31="On Hold"),"",ROUND((D31-K31)*100,0))</f>
        <v/>
      </c>
      <c r="M31" s="21" t="n">
        <f aca="false">IF(OR(B31="",F31=""),"",F31/INDEX(Project_Register!$I$6:$I$40,MATCH(B31,Project_Register!$A$6:$A$40,0)))</f>
        <v>1</v>
      </c>
      <c r="N31" s="22" t="str">
        <f aca="false">IF(OR(B31="",G31="",T31="On Hold"),"",G31-INDEX(Project_Register!$H$6:$H$40,MATCH(B31,Project_Register!$A$6:$A$40,0)))</f>
        <v/>
      </c>
      <c r="O31" s="23" t="str">
        <f aca="false">IF(B31="","",IF(D31="","No update",IF(AND(T31&lt;&gt;"Active",D31&lt;1),T31,IF(D31&gt;=1,"Complete",IF(OR(L31&lt;=SV_Red,M31&gt;Cost_Red,N31&gt;Slip_Red),"Red",IF(OR(L31&lt;=SV_Amber,M31&gt;Cost_Amber,N31&gt;Slip_Amber),"Amber","Green"))))))</f>
        <v>On Hold</v>
      </c>
      <c r="P31" s="23" t="str">
        <f aca="false">IF(AND(H31="Green",OR(O31="Amber",O31="Red")),"Watermelon","")</f>
        <v/>
      </c>
      <c r="Q31" s="23" t="str">
        <f aca="false">IF(B31="","",IF(J31="","Missing",IF(J31&gt;A31+UpdateDue,"Late","On time")))</f>
        <v>On time</v>
      </c>
      <c r="R31" s="23" t="str">
        <f aca="false">IF(OR(B31="",D31=""),"",IF(COUNTIFS($B$6:$B$400,B31,$A$6:$A$400,EOMONTH(A31,-1))=0,"",IF(D31&lt;SUMIFS($D$6:$D$400,$B$6:$B$400,B31,$A$6:$A$400,EOMONTH(A31,-1)),"Dropped","")))</f>
        <v/>
      </c>
      <c r="S31" s="35" t="str">
        <f aca="false">IF(B31="","",B31&amp;"|"&amp;(YEAR(A31)*100+MONTH(A31)))</f>
        <v>P-210|202609</v>
      </c>
      <c r="T31" s="36" t="s">
        <v>128</v>
      </c>
    </row>
    <row r="32" customFormat="false" ht="15" hidden="false" customHeight="false" outlineLevel="0" collapsed="false">
      <c r="A32" s="29" t="n">
        <v>46326</v>
      </c>
      <c r="B32" s="30" t="s">
        <v>90</v>
      </c>
      <c r="C32" s="20" t="str">
        <f aca="false">IF(B32="","",IFERROR(INDEX(Project_Register!$B$6:$B$40,MATCH(B32,Project_Register!$A$6:$A$40,0)),"Unknown ID"))</f>
        <v>CRM Data Migration</v>
      </c>
      <c r="D32" s="31" t="n">
        <v>0.52</v>
      </c>
      <c r="E32" s="32" t="n">
        <v>120000</v>
      </c>
      <c r="F32" s="32" t="n">
        <v>186000</v>
      </c>
      <c r="G32" s="33" t="n">
        <v>46374</v>
      </c>
      <c r="H32" s="30" t="s">
        <v>69</v>
      </c>
      <c r="I32" s="34" t="s">
        <v>129</v>
      </c>
      <c r="J32" s="33" t="n">
        <v>46330</v>
      </c>
      <c r="K32" s="21" t="n">
        <f aca="false">IF(OR(B32="",T32="On Hold"),"",MAX(0,MIN(1,(A32-INDEX(Project_Register!$G$6:$G$40,MATCH(B32,Project_Register!$A$6:$A$40,0)))/(INDEX(Project_Register!$H$6:$H$40,MATCH(B32,Project_Register!$A$6:$A$40,0))-INDEX(Project_Register!$G$6:$G$40,MATCH(B32,Project_Register!$A$6:$A$40,0))))))</f>
        <v>0.76</v>
      </c>
      <c r="L32" s="22" t="n">
        <f aca="false">IF(OR(B32="",D32="",T32="On Hold"),"",ROUND((D32-K32)*100,0))</f>
        <v>-24</v>
      </c>
      <c r="M32" s="21" t="n">
        <f aca="false">IF(OR(B32="",F32=""),"",F32/INDEX(Project_Register!$I$6:$I$40,MATCH(B32,Project_Register!$A$6:$A$40,0)))</f>
        <v>1.03333333333333</v>
      </c>
      <c r="N32" s="22" t="n">
        <f aca="false">IF(OR(B32="",G32="",T32="On Hold"),"",G32-INDEX(Project_Register!$H$6:$H$40,MATCH(B32,Project_Register!$A$6:$A$40,0)))</f>
        <v>0</v>
      </c>
      <c r="O32" s="23" t="str">
        <f aca="false">IF(B32="","",IF(D32="","No update",IF(AND(T32&lt;&gt;"Active",D32&lt;1),T32,IF(D32&gt;=1,"Complete",IF(OR(L32&lt;=SV_Red,M32&gt;Cost_Red,N32&gt;Slip_Red),"Red",IF(OR(L32&lt;=SV_Amber,M32&gt;Cost_Amber,N32&gt;Slip_Amber),"Amber","Green"))))))</f>
        <v>Red</v>
      </c>
      <c r="P32" s="23" t="str">
        <f aca="false">IF(AND(H32="Green",OR(O32="Amber",O32="Red")),"Watermelon","")</f>
        <v>Watermelon</v>
      </c>
      <c r="Q32" s="23" t="str">
        <f aca="false">IF(B32="","",IF(J32="","Missing",IF(J32&gt;A32+UpdateDue,"Late","On time")))</f>
        <v>On time</v>
      </c>
      <c r="R32" s="23" t="str">
        <f aca="false">IF(OR(B32="",D32=""),"",IF(COUNTIFS($B$6:$B$400,B32,$A$6:$A$400,EOMONTH(A32,-1))=0,"",IF(D32&lt;SUMIFS($D$6:$D$400,$B$6:$B$400,B32,$A$6:$A$400,EOMONTH(A32,-1)),"Dropped","")))</f>
        <v/>
      </c>
      <c r="S32" s="35" t="str">
        <f aca="false">IF(B32="","",B32&amp;"|"&amp;(YEAR(A32)*100+MONTH(A32)))</f>
        <v>P-201|202610</v>
      </c>
      <c r="T32" s="36" t="s">
        <v>92</v>
      </c>
    </row>
    <row r="33" customFormat="false" ht="15" hidden="false" customHeight="false" outlineLevel="0" collapsed="false">
      <c r="A33" s="29" t="n">
        <v>46326</v>
      </c>
      <c r="B33" s="30" t="s">
        <v>93</v>
      </c>
      <c r="C33" s="20" t="str">
        <f aca="false">IF(B33="","",IFERROR(INDEX(Project_Register!$B$6:$B$40,MATCH(B33,Project_Register!$A$6:$A$40,0)),"Unknown ID"))</f>
        <v>Warehouse Label Printer Rollout</v>
      </c>
      <c r="D33" s="31" t="n">
        <v>0.84</v>
      </c>
      <c r="E33" s="32" t="n">
        <v>34000</v>
      </c>
      <c r="F33" s="32" t="n">
        <v>41000</v>
      </c>
      <c r="G33" s="33" t="n">
        <v>46346</v>
      </c>
      <c r="H33" s="30" t="s">
        <v>69</v>
      </c>
      <c r="I33" s="34" t="s">
        <v>130</v>
      </c>
      <c r="J33" s="33" t="n">
        <v>46328</v>
      </c>
      <c r="K33" s="21" t="n">
        <f aca="false">IF(OR(B33="",T33="On Hold"),"",MAX(0,MIN(1,(A33-INDEX(Project_Register!$G$6:$G$40,MATCH(B33,Project_Register!$A$6:$A$40,0)))/(INDEX(Project_Register!$H$6:$H$40,MATCH(B33,Project_Register!$A$6:$A$40,0))-INDEX(Project_Register!$G$6:$G$40,MATCH(B33,Project_Register!$A$6:$A$40,0))))))</f>
        <v>0.854014598540146</v>
      </c>
      <c r="L33" s="22" t="n">
        <f aca="false">IF(OR(B33="",D33="",T33="On Hold"),"",ROUND((D33-K33)*100,0))</f>
        <v>-1</v>
      </c>
      <c r="M33" s="21" t="n">
        <f aca="false">IF(OR(B33="",F33=""),"",F33/INDEX(Project_Register!$I$6:$I$40,MATCH(B33,Project_Register!$A$6:$A$40,0)))</f>
        <v>0.976190476190476</v>
      </c>
      <c r="N33" s="22" t="n">
        <f aca="false">IF(OR(B33="",G33="",T33="On Hold"),"",G33-INDEX(Project_Register!$H$6:$H$40,MATCH(B33,Project_Register!$A$6:$A$40,0)))</f>
        <v>0</v>
      </c>
      <c r="O33" s="23" t="str">
        <f aca="false">IF(B33="","",IF(D33="","No update",IF(AND(T33&lt;&gt;"Active",D33&lt;1),T33,IF(D33&gt;=1,"Complete",IF(OR(L33&lt;=SV_Red,M33&gt;Cost_Red,N33&gt;Slip_Red),"Red",IF(OR(L33&lt;=SV_Amber,M33&gt;Cost_Amber,N33&gt;Slip_Amber),"Amber","Green"))))))</f>
        <v>Green</v>
      </c>
      <c r="P33" s="23" t="str">
        <f aca="false">IF(AND(H33="Green",OR(O33="Amber",O33="Red")),"Watermelon","")</f>
        <v/>
      </c>
      <c r="Q33" s="23" t="str">
        <f aca="false">IF(B33="","",IF(J33="","Missing",IF(J33&gt;A33+UpdateDue,"Late","On time")))</f>
        <v>On time</v>
      </c>
      <c r="R33" s="23" t="str">
        <f aca="false">IF(OR(B33="",D33=""),"",IF(COUNTIFS($B$6:$B$400,B33,$A$6:$A$400,EOMONTH(A33,-1))=0,"",IF(D33&lt;SUMIFS($D$6:$D$400,$B$6:$B$400,B33,$A$6:$A$400,EOMONTH(A33,-1)),"Dropped","")))</f>
        <v/>
      </c>
      <c r="S33" s="35" t="str">
        <f aca="false">IF(B33="","",B33&amp;"|"&amp;(YEAR(A33)*100+MONTH(A33)))</f>
        <v>P-202|202610</v>
      </c>
      <c r="T33" s="36" t="s">
        <v>92</v>
      </c>
    </row>
    <row r="34" customFormat="false" ht="15" hidden="false" customHeight="false" outlineLevel="0" collapsed="false">
      <c r="A34" s="29" t="n">
        <v>46326</v>
      </c>
      <c r="B34" s="30" t="s">
        <v>95</v>
      </c>
      <c r="C34" s="20" t="str">
        <f aca="false">IF(B34="","",IFERROR(INDEX(Project_Register!$B$6:$B$40,MATCH(B34,Project_Register!$A$6:$A$40,0)),"Unknown ID"))</f>
        <v>HR Onboarding Portal</v>
      </c>
      <c r="D34" s="31" t="n">
        <v>0.78</v>
      </c>
      <c r="E34" s="32" t="n">
        <v>79000</v>
      </c>
      <c r="F34" s="32" t="n">
        <v>99000</v>
      </c>
      <c r="G34" s="33" t="n">
        <v>46367</v>
      </c>
      <c r="H34" s="30" t="s">
        <v>70</v>
      </c>
      <c r="I34" s="34" t="s">
        <v>131</v>
      </c>
      <c r="J34" s="33" t="n">
        <v>46329</v>
      </c>
      <c r="K34" s="21" t="n">
        <f aca="false">IF(OR(B34="",T34="On Hold"),"",MAX(0,MIN(1,(A34-INDEX(Project_Register!$G$6:$G$40,MATCH(B34,Project_Register!$A$6:$A$40,0)))/(INDEX(Project_Register!$H$6:$H$40,MATCH(B34,Project_Register!$A$6:$A$40,0))-INDEX(Project_Register!$G$6:$G$40,MATCH(B34,Project_Register!$A$6:$A$40,0))))))</f>
        <v>0.81447963800905</v>
      </c>
      <c r="L34" s="22" t="n">
        <f aca="false">IF(OR(B34="",D34="",T34="On Hold"),"",ROUND((D34-K34)*100,0))</f>
        <v>-3</v>
      </c>
      <c r="M34" s="21" t="n">
        <f aca="false">IF(OR(B34="",F34=""),"",F34/INDEX(Project_Register!$I$6:$I$40,MATCH(B34,Project_Register!$A$6:$A$40,0)))</f>
        <v>1.04210526315789</v>
      </c>
      <c r="N34" s="22" t="n">
        <f aca="false">IF(OR(B34="",G34="",T34="On Hold"),"",G34-INDEX(Project_Register!$H$6:$H$40,MATCH(B34,Project_Register!$A$6:$A$40,0)))</f>
        <v>0</v>
      </c>
      <c r="O34" s="23" t="str">
        <f aca="false">IF(B34="","",IF(D34="","No update",IF(AND(T34&lt;&gt;"Active",D34&lt;1),T34,IF(D34&gt;=1,"Complete",IF(OR(L34&lt;=SV_Red,M34&gt;Cost_Red,N34&gt;Slip_Red),"Red",IF(OR(L34&lt;=SV_Amber,M34&gt;Cost_Amber,N34&gt;Slip_Amber),"Amber","Green"))))))</f>
        <v>Amber</v>
      </c>
      <c r="P34" s="23" t="str">
        <f aca="false">IF(AND(H34="Green",OR(O34="Amber",O34="Red")),"Watermelon","")</f>
        <v/>
      </c>
      <c r="Q34" s="23" t="str">
        <f aca="false">IF(B34="","",IF(J34="","Missing",IF(J34&gt;A34+UpdateDue,"Late","On time")))</f>
        <v>On time</v>
      </c>
      <c r="R34" s="23" t="str">
        <f aca="false">IF(OR(B34="",D34=""),"",IF(COUNTIFS($B$6:$B$400,B34,$A$6:$A$400,EOMONTH(A34,-1))=0,"",IF(D34&lt;SUMIFS($D$6:$D$400,$B$6:$B$400,B34,$A$6:$A$400,EOMONTH(A34,-1)),"Dropped","")))</f>
        <v/>
      </c>
      <c r="S34" s="35" t="str">
        <f aca="false">IF(B34="","",B34&amp;"|"&amp;(YEAR(A34)*100+MONTH(A34)))</f>
        <v>P-203|202610</v>
      </c>
      <c r="T34" s="36" t="s">
        <v>92</v>
      </c>
    </row>
    <row r="35" customFormat="false" ht="15" hidden="false" customHeight="false" outlineLevel="0" collapsed="false">
      <c r="A35" s="29" t="n">
        <v>46326</v>
      </c>
      <c r="B35" s="30" t="s">
        <v>99</v>
      </c>
      <c r="C35" s="20" t="str">
        <f aca="false">IF(B35="","",IFERROR(INDEX(Project_Register!$B$6:$B$40,MATCH(B35,Project_Register!$A$6:$A$40,0)),"Unknown ID"))</f>
        <v>Fleet GPS Rollout</v>
      </c>
      <c r="D35" s="31" t="n">
        <v>0.8</v>
      </c>
      <c r="E35" s="32" t="n">
        <v>66000</v>
      </c>
      <c r="F35" s="32" t="n">
        <v>79000</v>
      </c>
      <c r="G35" s="33" t="n">
        <v>46370</v>
      </c>
      <c r="H35" s="30" t="s">
        <v>71</v>
      </c>
      <c r="I35" s="34" t="s">
        <v>132</v>
      </c>
      <c r="J35" s="33" t="n">
        <v>46329</v>
      </c>
      <c r="K35" s="21" t="n">
        <f aca="false">IF(OR(B35="",T35="On Hold"),"",MAX(0,MIN(1,(A35-INDEX(Project_Register!$G$6:$G$40,MATCH(B35,Project_Register!$A$6:$A$40,0)))/(INDEX(Project_Register!$H$6:$H$40,MATCH(B35,Project_Register!$A$6:$A$40,0))-INDEX(Project_Register!$G$6:$G$40,MATCH(B35,Project_Register!$A$6:$A$40,0))))))</f>
        <v>1</v>
      </c>
      <c r="L35" s="22" t="n">
        <f aca="false">IF(OR(B35="",D35="",T35="On Hold"),"",ROUND((D35-K35)*100,0))</f>
        <v>-20</v>
      </c>
      <c r="M35" s="21" t="n">
        <f aca="false">IF(OR(B35="",F35=""),"",F35/INDEX(Project_Register!$I$6:$I$40,MATCH(B35,Project_Register!$A$6:$A$40,0)))</f>
        <v>1.05333333333333</v>
      </c>
      <c r="N35" s="22" t="n">
        <f aca="false">IF(OR(B35="",G35="",T35="On Hold"),"",G35-INDEX(Project_Register!$H$6:$H$40,MATCH(B35,Project_Register!$A$6:$A$40,0)))</f>
        <v>45</v>
      </c>
      <c r="O35" s="23" t="str">
        <f aca="false">IF(B35="","",IF(D35="","No update",IF(AND(T35&lt;&gt;"Active",D35&lt;1),T35,IF(D35&gt;=1,"Complete",IF(OR(L35&lt;=SV_Red,M35&gt;Cost_Red,N35&gt;Slip_Red),"Red",IF(OR(L35&lt;=SV_Amber,M35&gt;Cost_Amber,N35&gt;Slip_Amber),"Amber","Green"))))))</f>
        <v>Red</v>
      </c>
      <c r="P35" s="23" t="str">
        <f aca="false">IF(AND(H35="Green",OR(O35="Amber",O35="Red")),"Watermelon","")</f>
        <v/>
      </c>
      <c r="Q35" s="23" t="str">
        <f aca="false">IF(B35="","",IF(J35="","Missing",IF(J35&gt;A35+UpdateDue,"Late","On time")))</f>
        <v>On time</v>
      </c>
      <c r="R35" s="23" t="str">
        <f aca="false">IF(OR(B35="",D35=""),"",IF(COUNTIFS($B$6:$B$400,B35,$A$6:$A$400,EOMONTH(A35,-1))=0,"",IF(D35&lt;SUMIFS($D$6:$D$400,$B$6:$B$400,B35,$A$6:$A$400,EOMONTH(A35,-1)),"Dropped","")))</f>
        <v/>
      </c>
      <c r="S35" s="35" t="str">
        <f aca="false">IF(B35="","",B35&amp;"|"&amp;(YEAR(A35)*100+MONTH(A35)))</f>
        <v>P-205|202610</v>
      </c>
      <c r="T35" s="36" t="s">
        <v>92</v>
      </c>
    </row>
    <row r="36" customFormat="false" ht="15" hidden="false" customHeight="false" outlineLevel="0" collapsed="false">
      <c r="A36" s="29" t="n">
        <v>46326</v>
      </c>
      <c r="B36" s="30" t="s">
        <v>101</v>
      </c>
      <c r="C36" s="20" t="str">
        <f aca="false">IF(B36="","",IFERROR(INDEX(Project_Register!$B$6:$B$40,MATCH(B36,Project_Register!$A$6:$A$40,0)),"Unknown ID"))</f>
        <v>SOC 2 Readiness</v>
      </c>
      <c r="D36" s="31" t="n">
        <v>0.43</v>
      </c>
      <c r="E36" s="32" t="n">
        <v>52000</v>
      </c>
      <c r="F36" s="32" t="n">
        <v>118000</v>
      </c>
      <c r="G36" s="33" t="n">
        <v>46472</v>
      </c>
      <c r="H36" s="30" t="s">
        <v>70</v>
      </c>
      <c r="I36" s="34" t="s">
        <v>133</v>
      </c>
      <c r="J36" s="33" t="n">
        <v>46335</v>
      </c>
      <c r="K36" s="21" t="n">
        <f aca="false">IF(OR(B36="",T36="On Hold"),"",MAX(0,MIN(1,(A36-INDEX(Project_Register!$G$6:$G$40,MATCH(B36,Project_Register!$A$6:$A$40,0)))/(INDEX(Project_Register!$H$6:$H$40,MATCH(B36,Project_Register!$A$6:$A$40,0))-INDEX(Project_Register!$G$6:$G$40,MATCH(B36,Project_Register!$A$6:$A$40,0))))))</f>
        <v>0.51006711409396</v>
      </c>
      <c r="L36" s="22" t="n">
        <f aca="false">IF(OR(B36="",D36="",T36="On Hold"),"",ROUND((D36-K36)*100,0))</f>
        <v>-8</v>
      </c>
      <c r="M36" s="21" t="n">
        <f aca="false">IF(OR(B36="",F36=""),"",F36/INDEX(Project_Register!$I$6:$I$40,MATCH(B36,Project_Register!$A$6:$A$40,0)))</f>
        <v>0.983333333333333</v>
      </c>
      <c r="N36" s="22" t="n">
        <f aca="false">IF(OR(B36="",G36="",T36="On Hold"),"",G36-INDEX(Project_Register!$H$6:$H$40,MATCH(B36,Project_Register!$A$6:$A$40,0)))</f>
        <v>0</v>
      </c>
      <c r="O36" s="23" t="str">
        <f aca="false">IF(B36="","",IF(D36="","No update",IF(AND(T36&lt;&gt;"Active",D36&lt;1),T36,IF(D36&gt;=1,"Complete",IF(OR(L36&lt;=SV_Red,M36&gt;Cost_Red,N36&gt;Slip_Red),"Red",IF(OR(L36&lt;=SV_Amber,M36&gt;Cost_Amber,N36&gt;Slip_Amber),"Amber","Green"))))))</f>
        <v>Amber</v>
      </c>
      <c r="P36" s="23" t="str">
        <f aca="false">IF(AND(H36="Green",OR(O36="Amber",O36="Red")),"Watermelon","")</f>
        <v/>
      </c>
      <c r="Q36" s="23" t="str">
        <f aca="false">IF(B36="","",IF(J36="","Missing",IF(J36&gt;A36+UpdateDue,"Late","On time")))</f>
        <v>Late</v>
      </c>
      <c r="R36" s="23" t="str">
        <f aca="false">IF(OR(B36="",D36=""),"",IF(COUNTIFS($B$6:$B$400,B36,$A$6:$A$400,EOMONTH(A36,-1))=0,"",IF(D36&lt;SUMIFS($D$6:$D$400,$B$6:$B$400,B36,$A$6:$A$400,EOMONTH(A36,-1)),"Dropped","")))</f>
        <v/>
      </c>
      <c r="S36" s="35" t="str">
        <f aca="false">IF(B36="","",B36&amp;"|"&amp;(YEAR(A36)*100+MONTH(A36)))</f>
        <v>P-206|202610</v>
      </c>
      <c r="T36" s="36" t="s">
        <v>92</v>
      </c>
    </row>
    <row r="37" customFormat="false" ht="15" hidden="false" customHeight="false" outlineLevel="0" collapsed="false">
      <c r="A37" s="29" t="n">
        <v>46326</v>
      </c>
      <c r="B37" s="30" t="s">
        <v>111</v>
      </c>
      <c r="C37" s="20" t="str">
        <f aca="false">IF(B37="","",IFERROR(INDEX(Project_Register!$B$6:$B$40,MATCH(B37,Project_Register!$A$6:$A$40,0)),"Unknown ID"))</f>
        <v>Website Redesign</v>
      </c>
      <c r="D37" s="31" t="n">
        <v>0.52</v>
      </c>
      <c r="E37" s="32" t="n">
        <v>34000</v>
      </c>
      <c r="F37" s="32" t="n">
        <v>70000</v>
      </c>
      <c r="G37" s="33" t="n">
        <v>46416</v>
      </c>
      <c r="H37" s="30" t="s">
        <v>69</v>
      </c>
      <c r="I37" s="34" t="s">
        <v>134</v>
      </c>
      <c r="J37" s="33" t="n">
        <v>46328</v>
      </c>
      <c r="K37" s="21" t="n">
        <f aca="false">IF(OR(B37="",T37="On Hold"),"",MAX(0,MIN(1,(A37-INDEX(Project_Register!$G$6:$G$40,MATCH(B37,Project_Register!$A$6:$A$40,0)))/(INDEX(Project_Register!$H$6:$H$40,MATCH(B37,Project_Register!$A$6:$A$40,0))-INDEX(Project_Register!$G$6:$G$40,MATCH(B37,Project_Register!$A$6:$A$40,0))))))</f>
        <v>0.497206703910615</v>
      </c>
      <c r="L37" s="22" t="n">
        <f aca="false">IF(OR(B37="",D37="",T37="On Hold"),"",ROUND((D37-K37)*100,0))</f>
        <v>2</v>
      </c>
      <c r="M37" s="21" t="n">
        <f aca="false">IF(OR(B37="",F37=""),"",F37/INDEX(Project_Register!$I$6:$I$40,MATCH(B37,Project_Register!$A$6:$A$40,0)))</f>
        <v>1</v>
      </c>
      <c r="N37" s="22" t="n">
        <f aca="false">IF(OR(B37="",G37="",T37="On Hold"),"",G37-INDEX(Project_Register!$H$6:$H$40,MATCH(B37,Project_Register!$A$6:$A$40,0)))</f>
        <v>0</v>
      </c>
      <c r="O37" s="23" t="str">
        <f aca="false">IF(B37="","",IF(D37="","No update",IF(AND(T37&lt;&gt;"Active",D37&lt;1),T37,IF(D37&gt;=1,"Complete",IF(OR(L37&lt;=SV_Red,M37&gt;Cost_Red,N37&gt;Slip_Red),"Red",IF(OR(L37&lt;=SV_Amber,M37&gt;Cost_Amber,N37&gt;Slip_Amber),"Amber","Green"))))))</f>
        <v>Green</v>
      </c>
      <c r="P37" s="23" t="str">
        <f aca="false">IF(AND(H37="Green",OR(O37="Amber",O37="Red")),"Watermelon","")</f>
        <v/>
      </c>
      <c r="Q37" s="23" t="str">
        <f aca="false">IF(B37="","",IF(J37="","Missing",IF(J37&gt;A37+UpdateDue,"Late","On time")))</f>
        <v>On time</v>
      </c>
      <c r="R37" s="23" t="str">
        <f aca="false">IF(OR(B37="",D37=""),"",IF(COUNTIFS($B$6:$B$400,B37,$A$6:$A$400,EOMONTH(A37,-1))=0,"",IF(D37&lt;SUMIFS($D$6:$D$400,$B$6:$B$400,B37,$A$6:$A$400,EOMONTH(A37,-1)),"Dropped","")))</f>
        <v/>
      </c>
      <c r="S37" s="35" t="str">
        <f aca="false">IF(B37="","",B37&amp;"|"&amp;(YEAR(A37)*100+MONTH(A37)))</f>
        <v>P-207|202610</v>
      </c>
      <c r="T37" s="36" t="s">
        <v>92</v>
      </c>
    </row>
    <row r="38" customFormat="false" ht="23.85" hidden="false" customHeight="false" outlineLevel="0" collapsed="false">
      <c r="A38" s="29" t="n">
        <v>46326</v>
      </c>
      <c r="B38" s="30" t="s">
        <v>124</v>
      </c>
      <c r="C38" s="20" t="str">
        <f aca="false">IF(B38="","",IFERROR(INDEX(Project_Register!$B$6:$B$40,MATCH(B38,Project_Register!$A$6:$A$40,0)),"Unknown ID"))</f>
        <v>Phone System to Teams Calling</v>
      </c>
      <c r="D38" s="31"/>
      <c r="E38" s="32"/>
      <c r="F38" s="32"/>
      <c r="G38" s="33"/>
      <c r="H38" s="30"/>
      <c r="I38" s="34" t="s">
        <v>135</v>
      </c>
      <c r="J38" s="33"/>
      <c r="K38" s="21" t="n">
        <f aca="false">IF(OR(B38="",T38="On Hold"),"",MAX(0,MIN(1,(A38-INDEX(Project_Register!$G$6:$G$40,MATCH(B38,Project_Register!$A$6:$A$40,0)))/(INDEX(Project_Register!$H$6:$H$40,MATCH(B38,Project_Register!$A$6:$A$40,0))-INDEX(Project_Register!$G$6:$G$40,MATCH(B38,Project_Register!$A$6:$A$40,0))))))</f>
        <v>0.613636363636364</v>
      </c>
      <c r="L38" s="22" t="str">
        <f aca="false">IF(OR(B38="",D38="",T38="On Hold"),"",ROUND((D38-K38)*100,0))</f>
        <v/>
      </c>
      <c r="M38" s="21" t="str">
        <f aca="false">IF(OR(B38="",F38=""),"",F38/INDEX(Project_Register!$I$6:$I$40,MATCH(B38,Project_Register!$A$6:$A$40,0)))</f>
        <v/>
      </c>
      <c r="N38" s="22" t="str">
        <f aca="false">IF(OR(B38="",G38="",T38="On Hold"),"",G38-INDEX(Project_Register!$H$6:$H$40,MATCH(B38,Project_Register!$A$6:$A$40,0)))</f>
        <v/>
      </c>
      <c r="O38" s="23" t="str">
        <f aca="false">IF(B38="","",IF(D38="","No update",IF(AND(T38&lt;&gt;"Active",D38&lt;1),T38,IF(D38&gt;=1,"Complete",IF(OR(L38&lt;=SV_Red,M38&gt;Cost_Red,N38&gt;Slip_Red),"Red",IF(OR(L38&lt;=SV_Amber,M38&gt;Cost_Amber,N38&gt;Slip_Amber),"Amber","Green"))))))</f>
        <v>No update</v>
      </c>
      <c r="P38" s="23" t="str">
        <f aca="false">IF(AND(H38="Green",OR(O38="Amber",O38="Red")),"Watermelon","")</f>
        <v/>
      </c>
      <c r="Q38" s="23" t="str">
        <f aca="false">IF(B38="","",IF(J38="","Missing",IF(J38&gt;A38+UpdateDue,"Late","On time")))</f>
        <v>Missing</v>
      </c>
      <c r="R38" s="23" t="str">
        <f aca="false">IF(OR(B38="",D38=""),"",IF(COUNTIFS($B$6:$B$400,B38,$A$6:$A$400,EOMONTH(A38,-1))=0,"",IF(D38&lt;SUMIFS($D$6:$D$400,$B$6:$B$400,B38,$A$6:$A$400,EOMONTH(A38,-1)),"Dropped","")))</f>
        <v/>
      </c>
      <c r="S38" s="35" t="str">
        <f aca="false">IF(B38="","",B38&amp;"|"&amp;(YEAR(A38)*100+MONTH(A38)))</f>
        <v>P-208|202610</v>
      </c>
      <c r="T38" s="36" t="s">
        <v>92</v>
      </c>
    </row>
    <row r="39" customFormat="false" ht="15" hidden="false" customHeight="false" outlineLevel="0" collapsed="false">
      <c r="A39" s="29" t="n">
        <v>46326</v>
      </c>
      <c r="B39" s="30" t="s">
        <v>103</v>
      </c>
      <c r="C39" s="20" t="str">
        <f aca="false">IF(B39="","",IFERROR(INDEX(Project_Register!$B$6:$B$40,MATCH(B39,Project_Register!$A$6:$A$40,0)),"Unknown ID"))</f>
        <v>Records Digitization</v>
      </c>
      <c r="D39" s="31" t="n">
        <v>0.55</v>
      </c>
      <c r="E39" s="32" t="n">
        <v>34000</v>
      </c>
      <c r="F39" s="32" t="n">
        <v>56000</v>
      </c>
      <c r="G39" s="33" t="n">
        <v>46402</v>
      </c>
      <c r="H39" s="30" t="s">
        <v>69</v>
      </c>
      <c r="I39" s="34" t="s">
        <v>136</v>
      </c>
      <c r="J39" s="33" t="n">
        <v>46330</v>
      </c>
      <c r="K39" s="21" t="n">
        <f aca="false">IF(OR(B39="",T39="On Hold"),"",MAX(0,MIN(1,(A39-INDEX(Project_Register!$G$6:$G$40,MATCH(B39,Project_Register!$A$6:$A$40,0)))/(INDEX(Project_Register!$H$6:$H$40,MATCH(B39,Project_Register!$A$6:$A$40,0))-INDEX(Project_Register!$G$6:$G$40,MATCH(B39,Project_Register!$A$6:$A$40,0))))))</f>
        <v>0.616161616161616</v>
      </c>
      <c r="L39" s="22" t="n">
        <f aca="false">IF(OR(B39="",D39="",T39="On Hold"),"",ROUND((D39-K39)*100,0))</f>
        <v>-7</v>
      </c>
      <c r="M39" s="21" t="n">
        <f aca="false">IF(OR(B39="",F39=""),"",F39/INDEX(Project_Register!$I$6:$I$40,MATCH(B39,Project_Register!$A$6:$A$40,0)))</f>
        <v>1.03703703703704</v>
      </c>
      <c r="N39" s="22" t="n">
        <f aca="false">IF(OR(B39="",G39="",T39="On Hold"),"",G39-INDEX(Project_Register!$H$6:$H$40,MATCH(B39,Project_Register!$A$6:$A$40,0)))</f>
        <v>0</v>
      </c>
      <c r="O39" s="23" t="str">
        <f aca="false">IF(B39="","",IF(D39="","No update",IF(AND(T39&lt;&gt;"Active",D39&lt;1),T39,IF(D39&gt;=1,"Complete",IF(OR(L39&lt;=SV_Red,M39&gt;Cost_Red,N39&gt;Slip_Red),"Red",IF(OR(L39&lt;=SV_Amber,M39&gt;Cost_Amber,N39&gt;Slip_Amber),"Amber","Green"))))))</f>
        <v>Amber</v>
      </c>
      <c r="P39" s="23" t="str">
        <f aca="false">IF(AND(H39="Green",OR(O39="Amber",O39="Red")),"Watermelon","")</f>
        <v>Watermelon</v>
      </c>
      <c r="Q39" s="23" t="str">
        <f aca="false">IF(B39="","",IF(J39="","Missing",IF(J39&gt;A39+UpdateDue,"Late","On time")))</f>
        <v>On time</v>
      </c>
      <c r="R39" s="23" t="str">
        <f aca="false">IF(OR(B39="",D39=""),"",IF(COUNTIFS($B$6:$B$400,B39,$A$6:$A$400,EOMONTH(A39,-1))=0,"",IF(D39&lt;SUMIFS($D$6:$D$400,$B$6:$B$400,B39,$A$6:$A$400,EOMONTH(A39,-1)),"Dropped","")))</f>
        <v>Dropped</v>
      </c>
      <c r="S39" s="35" t="str">
        <f aca="false">IF(B39="","",B39&amp;"|"&amp;(YEAR(A39)*100+MONTH(A39)))</f>
        <v>P-209|202610</v>
      </c>
      <c r="T39" s="36" t="s">
        <v>92</v>
      </c>
    </row>
    <row r="40" customFormat="false" ht="15" hidden="false" customHeight="false" outlineLevel="0" collapsed="false">
      <c r="A40" s="29" t="n">
        <v>46326</v>
      </c>
      <c r="B40" s="30" t="s">
        <v>114</v>
      </c>
      <c r="C40" s="20" t="str">
        <f aca="false">IF(B40="","",IFERROR(INDEX(Project_Register!$B$6:$B$40,MATCH(B40,Project_Register!$A$6:$A$40,0)),"Unknown ID"))</f>
        <v>Parking Lot Resurfacing</v>
      </c>
      <c r="D40" s="31" t="n">
        <v>0.25</v>
      </c>
      <c r="E40" s="32" t="n">
        <v>20000</v>
      </c>
      <c r="F40" s="32" t="n">
        <v>85000</v>
      </c>
      <c r="G40" s="33" t="n">
        <v>46339</v>
      </c>
      <c r="H40" s="30" t="s">
        <v>70</v>
      </c>
      <c r="I40" s="34" t="s">
        <v>137</v>
      </c>
      <c r="J40" s="33" t="n">
        <v>46328</v>
      </c>
      <c r="K40" s="21" t="str">
        <f aca="false">IF(OR(B40="",T40="On Hold"),"",MAX(0,MIN(1,(A40-INDEX(Project_Register!$G$6:$G$40,MATCH(B40,Project_Register!$A$6:$A$40,0)))/(INDEX(Project_Register!$H$6:$H$40,MATCH(B40,Project_Register!$A$6:$A$40,0))-INDEX(Project_Register!$G$6:$G$40,MATCH(B40,Project_Register!$A$6:$A$40,0))))))</f>
        <v/>
      </c>
      <c r="L40" s="22" t="str">
        <f aca="false">IF(OR(B40="",D40="",T40="On Hold"),"",ROUND((D40-K40)*100,0))</f>
        <v/>
      </c>
      <c r="M40" s="21" t="n">
        <f aca="false">IF(OR(B40="",F40=""),"",F40/INDEX(Project_Register!$I$6:$I$40,MATCH(B40,Project_Register!$A$6:$A$40,0)))</f>
        <v>1</v>
      </c>
      <c r="N40" s="22" t="str">
        <f aca="false">IF(OR(B40="",G40="",T40="On Hold"),"",G40-INDEX(Project_Register!$H$6:$H$40,MATCH(B40,Project_Register!$A$6:$A$40,0)))</f>
        <v/>
      </c>
      <c r="O40" s="23" t="str">
        <f aca="false">IF(B40="","",IF(D40="","No update",IF(AND(T40&lt;&gt;"Active",D40&lt;1),T40,IF(D40&gt;=1,"Complete",IF(OR(L40&lt;=SV_Red,M40&gt;Cost_Red,N40&gt;Slip_Red),"Red",IF(OR(L40&lt;=SV_Amber,M40&gt;Cost_Amber,N40&gt;Slip_Amber),"Amber","Green"))))))</f>
        <v>On Hold</v>
      </c>
      <c r="P40" s="23" t="str">
        <f aca="false">IF(AND(H40="Green",OR(O40="Amber",O40="Red")),"Watermelon","")</f>
        <v/>
      </c>
      <c r="Q40" s="23" t="str">
        <f aca="false">IF(B40="","",IF(J40="","Missing",IF(J40&gt;A40+UpdateDue,"Late","On time")))</f>
        <v>On time</v>
      </c>
      <c r="R40" s="23" t="str">
        <f aca="false">IF(OR(B40="",D40=""),"",IF(COUNTIFS($B$6:$B$400,B40,$A$6:$A$400,EOMONTH(A40,-1))=0,"",IF(D40&lt;SUMIFS($D$6:$D$400,$B$6:$B$400,B40,$A$6:$A$400,EOMONTH(A40,-1)),"Dropped","")))</f>
        <v/>
      </c>
      <c r="S40" s="35" t="str">
        <f aca="false">IF(B40="","",B40&amp;"|"&amp;(YEAR(A40)*100+MONTH(A40)))</f>
        <v>P-210|202610</v>
      </c>
      <c r="T40" s="36" t="s">
        <v>128</v>
      </c>
    </row>
    <row r="41" customFormat="false" ht="15" hidden="false" customHeight="false" outlineLevel="0" collapsed="false">
      <c r="A41" s="37"/>
      <c r="C41" s="0" t="str">
        <f aca="false">IF(B41="","",IFERROR(INDEX(Project_Register!$B$6:$B$40,MATCH(B41,Project_Register!$A$6:$A$40,0)),"Unknown ID"))</f>
        <v/>
      </c>
      <c r="D41" s="38"/>
      <c r="E41" s="24"/>
      <c r="F41" s="24"/>
      <c r="G41" s="39"/>
      <c r="J41" s="39"/>
      <c r="K41" s="38" t="str">
        <f aca="false">IF(OR(B41="",T41="On Hold"),"",MAX(0,MIN(1,(A41-INDEX(Project_Register!$G$6:$G$40,MATCH(B41,Project_Register!$A$6:$A$40,0)))/(INDEX(Project_Register!$H$6:$H$40,MATCH(B41,Project_Register!$A$6:$A$40,0))-INDEX(Project_Register!$G$6:$G$40,MATCH(B41,Project_Register!$A$6:$A$40,0))))))</f>
        <v/>
      </c>
      <c r="L41" s="40" t="str">
        <f aca="false">IF(OR(B41="",D41="",T41="On Hold"),"",ROUND((D41-K41)*100,0))</f>
        <v/>
      </c>
      <c r="M41" s="38" t="str">
        <f aca="false">IF(OR(B41="",F41=""),"",F41/INDEX(Project_Register!$I$6:$I$40,MATCH(B41,Project_Register!$A$6:$A$40,0)))</f>
        <v/>
      </c>
      <c r="N41" s="40" t="str">
        <f aca="false">IF(OR(B41="",G41="",T41="On Hold"),"",G41-INDEX(Project_Register!$H$6:$H$40,MATCH(B41,Project_Register!$A$6:$A$40,0)))</f>
        <v/>
      </c>
      <c r="O41" s="0" t="str">
        <f aca="false">IF(B41="","",IF(D41="","No update",IF(AND(T41&lt;&gt;"Active",D41&lt;1),T41,IF(D41&gt;=1,"Complete",IF(OR(L41&lt;=SV_Red,M41&gt;Cost_Red,N41&gt;Slip_Red),"Red",IF(OR(L41&lt;=SV_Amber,M41&gt;Cost_Amber,N41&gt;Slip_Amber),"Amber","Green"))))))</f>
        <v/>
      </c>
      <c r="P41" s="0" t="str">
        <f aca="false">IF(AND(H41="Green",OR(O41="Amber",O41="Red")),"Watermelon","")</f>
        <v/>
      </c>
      <c r="Q41" s="0" t="str">
        <f aca="false">IF(B41="","",IF(J41="","Missing",IF(J41&gt;A41+UpdateDue,"Late","On time")))</f>
        <v/>
      </c>
      <c r="R41" s="0" t="str">
        <f aca="false">IF(OR(B41="",D41=""),"",IF(COUNTIFS($B$6:$B$400,B41,$A$6:$A$400,EOMONTH(A41,-1))=0,"",IF(D41&lt;SUMIFS($D$6:$D$400,$B$6:$B$400,B41,$A$6:$A$400,EOMONTH(A41,-1)),"Dropped","")))</f>
        <v/>
      </c>
      <c r="S41" s="41" t="str">
        <f aca="false">IF(B41="","",B41&amp;"|"&amp;(YEAR(A41)*100+MONTH(A41)))</f>
        <v/>
      </c>
    </row>
    <row r="42" customFormat="false" ht="15" hidden="false" customHeight="false" outlineLevel="0" collapsed="false">
      <c r="A42" s="37"/>
      <c r="C42" s="0" t="str">
        <f aca="false">IF(B42="","",IFERROR(INDEX(Project_Register!$B$6:$B$40,MATCH(B42,Project_Register!$A$6:$A$40,0)),"Unknown ID"))</f>
        <v/>
      </c>
      <c r="D42" s="38"/>
      <c r="E42" s="24"/>
      <c r="F42" s="24"/>
      <c r="G42" s="39"/>
      <c r="J42" s="39"/>
      <c r="K42" s="38" t="str">
        <f aca="false">IF(OR(B42="",T42="On Hold"),"",MAX(0,MIN(1,(A42-INDEX(Project_Register!$G$6:$G$40,MATCH(B42,Project_Register!$A$6:$A$40,0)))/(INDEX(Project_Register!$H$6:$H$40,MATCH(B42,Project_Register!$A$6:$A$40,0))-INDEX(Project_Register!$G$6:$G$40,MATCH(B42,Project_Register!$A$6:$A$40,0))))))</f>
        <v/>
      </c>
      <c r="L42" s="40" t="str">
        <f aca="false">IF(OR(B42="",D42="",T42="On Hold"),"",ROUND((D42-K42)*100,0))</f>
        <v/>
      </c>
      <c r="M42" s="38" t="str">
        <f aca="false">IF(OR(B42="",F42=""),"",F42/INDEX(Project_Register!$I$6:$I$40,MATCH(B42,Project_Register!$A$6:$A$40,0)))</f>
        <v/>
      </c>
      <c r="N42" s="40" t="str">
        <f aca="false">IF(OR(B42="",G42="",T42="On Hold"),"",G42-INDEX(Project_Register!$H$6:$H$40,MATCH(B42,Project_Register!$A$6:$A$40,0)))</f>
        <v/>
      </c>
      <c r="O42" s="0" t="str">
        <f aca="false">IF(B42="","",IF(D42="","No update",IF(AND(T42&lt;&gt;"Active",D42&lt;1),T42,IF(D42&gt;=1,"Complete",IF(OR(L42&lt;=SV_Red,M42&gt;Cost_Red,N42&gt;Slip_Red),"Red",IF(OR(L42&lt;=SV_Amber,M42&gt;Cost_Amber,N42&gt;Slip_Amber),"Amber","Green"))))))</f>
        <v/>
      </c>
      <c r="P42" s="0" t="str">
        <f aca="false">IF(AND(H42="Green",OR(O42="Amber",O42="Red")),"Watermelon","")</f>
        <v/>
      </c>
      <c r="Q42" s="0" t="str">
        <f aca="false">IF(B42="","",IF(J42="","Missing",IF(J42&gt;A42+UpdateDue,"Late","On time")))</f>
        <v/>
      </c>
      <c r="R42" s="0" t="str">
        <f aca="false">IF(OR(B42="",D42=""),"",IF(COUNTIFS($B$6:$B$400,B42,$A$6:$A$400,EOMONTH(A42,-1))=0,"",IF(D42&lt;SUMIFS($D$6:$D$400,$B$6:$B$400,B42,$A$6:$A$400,EOMONTH(A42,-1)),"Dropped","")))</f>
        <v/>
      </c>
      <c r="S42" s="41" t="str">
        <f aca="false">IF(B42="","",B42&amp;"|"&amp;(YEAR(A42)*100+MONTH(A42)))</f>
        <v/>
      </c>
    </row>
    <row r="43" customFormat="false" ht="15" hidden="false" customHeight="false" outlineLevel="0" collapsed="false">
      <c r="A43" s="37"/>
      <c r="C43" s="0" t="str">
        <f aca="false">IF(B43="","",IFERROR(INDEX(Project_Register!$B$6:$B$40,MATCH(B43,Project_Register!$A$6:$A$40,0)),"Unknown ID"))</f>
        <v/>
      </c>
      <c r="D43" s="38"/>
      <c r="E43" s="24"/>
      <c r="F43" s="24"/>
      <c r="G43" s="39"/>
      <c r="J43" s="39"/>
      <c r="K43" s="38" t="str">
        <f aca="false">IF(OR(B43="",T43="On Hold"),"",MAX(0,MIN(1,(A43-INDEX(Project_Register!$G$6:$G$40,MATCH(B43,Project_Register!$A$6:$A$40,0)))/(INDEX(Project_Register!$H$6:$H$40,MATCH(B43,Project_Register!$A$6:$A$40,0))-INDEX(Project_Register!$G$6:$G$40,MATCH(B43,Project_Register!$A$6:$A$40,0))))))</f>
        <v/>
      </c>
      <c r="L43" s="40" t="str">
        <f aca="false">IF(OR(B43="",D43="",T43="On Hold"),"",ROUND((D43-K43)*100,0))</f>
        <v/>
      </c>
      <c r="M43" s="38" t="str">
        <f aca="false">IF(OR(B43="",F43=""),"",F43/INDEX(Project_Register!$I$6:$I$40,MATCH(B43,Project_Register!$A$6:$A$40,0)))</f>
        <v/>
      </c>
      <c r="N43" s="40" t="str">
        <f aca="false">IF(OR(B43="",G43="",T43="On Hold"),"",G43-INDEX(Project_Register!$H$6:$H$40,MATCH(B43,Project_Register!$A$6:$A$40,0)))</f>
        <v/>
      </c>
      <c r="O43" s="0" t="str">
        <f aca="false">IF(B43="","",IF(D43="","No update",IF(AND(T43&lt;&gt;"Active",D43&lt;1),T43,IF(D43&gt;=1,"Complete",IF(OR(L43&lt;=SV_Red,M43&gt;Cost_Red,N43&gt;Slip_Red),"Red",IF(OR(L43&lt;=SV_Amber,M43&gt;Cost_Amber,N43&gt;Slip_Amber),"Amber","Green"))))))</f>
        <v/>
      </c>
      <c r="P43" s="0" t="str">
        <f aca="false">IF(AND(H43="Green",OR(O43="Amber",O43="Red")),"Watermelon","")</f>
        <v/>
      </c>
      <c r="Q43" s="0" t="str">
        <f aca="false">IF(B43="","",IF(J43="","Missing",IF(J43&gt;A43+UpdateDue,"Late","On time")))</f>
        <v/>
      </c>
      <c r="R43" s="0" t="str">
        <f aca="false">IF(OR(B43="",D43=""),"",IF(COUNTIFS($B$6:$B$400,B43,$A$6:$A$400,EOMONTH(A43,-1))=0,"",IF(D43&lt;SUMIFS($D$6:$D$400,$B$6:$B$400,B43,$A$6:$A$400,EOMONTH(A43,-1)),"Dropped","")))</f>
        <v/>
      </c>
      <c r="S43" s="41" t="str">
        <f aca="false">IF(B43="","",B43&amp;"|"&amp;(YEAR(A43)*100+MONTH(A43)))</f>
        <v/>
      </c>
    </row>
    <row r="44" customFormat="false" ht="15" hidden="false" customHeight="false" outlineLevel="0" collapsed="false">
      <c r="A44" s="37"/>
      <c r="C44" s="0" t="str">
        <f aca="false">IF(B44="","",IFERROR(INDEX(Project_Register!$B$6:$B$40,MATCH(B44,Project_Register!$A$6:$A$40,0)),"Unknown ID"))</f>
        <v/>
      </c>
      <c r="D44" s="38"/>
      <c r="E44" s="24"/>
      <c r="F44" s="24"/>
      <c r="G44" s="39"/>
      <c r="J44" s="39"/>
      <c r="K44" s="38" t="str">
        <f aca="false">IF(OR(B44="",T44="On Hold"),"",MAX(0,MIN(1,(A44-INDEX(Project_Register!$G$6:$G$40,MATCH(B44,Project_Register!$A$6:$A$40,0)))/(INDEX(Project_Register!$H$6:$H$40,MATCH(B44,Project_Register!$A$6:$A$40,0))-INDEX(Project_Register!$G$6:$G$40,MATCH(B44,Project_Register!$A$6:$A$40,0))))))</f>
        <v/>
      </c>
      <c r="L44" s="40" t="str">
        <f aca="false">IF(OR(B44="",D44="",T44="On Hold"),"",ROUND((D44-K44)*100,0))</f>
        <v/>
      </c>
      <c r="M44" s="38" t="str">
        <f aca="false">IF(OR(B44="",F44=""),"",F44/INDEX(Project_Register!$I$6:$I$40,MATCH(B44,Project_Register!$A$6:$A$40,0)))</f>
        <v/>
      </c>
      <c r="N44" s="40" t="str">
        <f aca="false">IF(OR(B44="",G44="",T44="On Hold"),"",G44-INDEX(Project_Register!$H$6:$H$40,MATCH(B44,Project_Register!$A$6:$A$40,0)))</f>
        <v/>
      </c>
      <c r="O44" s="0" t="str">
        <f aca="false">IF(B44="","",IF(D44="","No update",IF(AND(T44&lt;&gt;"Active",D44&lt;1),T44,IF(D44&gt;=1,"Complete",IF(OR(L44&lt;=SV_Red,M44&gt;Cost_Red,N44&gt;Slip_Red),"Red",IF(OR(L44&lt;=SV_Amber,M44&gt;Cost_Amber,N44&gt;Slip_Amber),"Amber","Green"))))))</f>
        <v/>
      </c>
      <c r="P44" s="0" t="str">
        <f aca="false">IF(AND(H44="Green",OR(O44="Amber",O44="Red")),"Watermelon","")</f>
        <v/>
      </c>
      <c r="Q44" s="0" t="str">
        <f aca="false">IF(B44="","",IF(J44="","Missing",IF(J44&gt;A44+UpdateDue,"Late","On time")))</f>
        <v/>
      </c>
      <c r="R44" s="0" t="str">
        <f aca="false">IF(OR(B44="",D44=""),"",IF(COUNTIFS($B$6:$B$400,B44,$A$6:$A$400,EOMONTH(A44,-1))=0,"",IF(D44&lt;SUMIFS($D$6:$D$400,$B$6:$B$400,B44,$A$6:$A$400,EOMONTH(A44,-1)),"Dropped","")))</f>
        <v/>
      </c>
      <c r="S44" s="41" t="str">
        <f aca="false">IF(B44="","",B44&amp;"|"&amp;(YEAR(A44)*100+MONTH(A44)))</f>
        <v/>
      </c>
    </row>
    <row r="45" customFormat="false" ht="15" hidden="false" customHeight="false" outlineLevel="0" collapsed="false">
      <c r="A45" s="37"/>
      <c r="C45" s="0" t="str">
        <f aca="false">IF(B45="","",IFERROR(INDEX(Project_Register!$B$6:$B$40,MATCH(B45,Project_Register!$A$6:$A$40,0)),"Unknown ID"))</f>
        <v/>
      </c>
      <c r="D45" s="38"/>
      <c r="E45" s="24"/>
      <c r="F45" s="24"/>
      <c r="G45" s="39"/>
      <c r="J45" s="39"/>
      <c r="K45" s="38" t="str">
        <f aca="false">IF(OR(B45="",T45="On Hold"),"",MAX(0,MIN(1,(A45-INDEX(Project_Register!$G$6:$G$40,MATCH(B45,Project_Register!$A$6:$A$40,0)))/(INDEX(Project_Register!$H$6:$H$40,MATCH(B45,Project_Register!$A$6:$A$40,0))-INDEX(Project_Register!$G$6:$G$40,MATCH(B45,Project_Register!$A$6:$A$40,0))))))</f>
        <v/>
      </c>
      <c r="L45" s="40" t="str">
        <f aca="false">IF(OR(B45="",D45="",T45="On Hold"),"",ROUND((D45-K45)*100,0))</f>
        <v/>
      </c>
      <c r="M45" s="38" t="str">
        <f aca="false">IF(OR(B45="",F45=""),"",F45/INDEX(Project_Register!$I$6:$I$40,MATCH(B45,Project_Register!$A$6:$A$40,0)))</f>
        <v/>
      </c>
      <c r="N45" s="40" t="str">
        <f aca="false">IF(OR(B45="",G45="",T45="On Hold"),"",G45-INDEX(Project_Register!$H$6:$H$40,MATCH(B45,Project_Register!$A$6:$A$40,0)))</f>
        <v/>
      </c>
      <c r="O45" s="0" t="str">
        <f aca="false">IF(B45="","",IF(D45="","No update",IF(AND(T45&lt;&gt;"Active",D45&lt;1),T45,IF(D45&gt;=1,"Complete",IF(OR(L45&lt;=SV_Red,M45&gt;Cost_Red,N45&gt;Slip_Red),"Red",IF(OR(L45&lt;=SV_Amber,M45&gt;Cost_Amber,N45&gt;Slip_Amber),"Amber","Green"))))))</f>
        <v/>
      </c>
      <c r="P45" s="0" t="str">
        <f aca="false">IF(AND(H45="Green",OR(O45="Amber",O45="Red")),"Watermelon","")</f>
        <v/>
      </c>
      <c r="Q45" s="0" t="str">
        <f aca="false">IF(B45="","",IF(J45="","Missing",IF(J45&gt;A45+UpdateDue,"Late","On time")))</f>
        <v/>
      </c>
      <c r="R45" s="0" t="str">
        <f aca="false">IF(OR(B45="",D45=""),"",IF(COUNTIFS($B$6:$B$400,B45,$A$6:$A$400,EOMONTH(A45,-1))=0,"",IF(D45&lt;SUMIFS($D$6:$D$400,$B$6:$B$400,B45,$A$6:$A$400,EOMONTH(A45,-1)),"Dropped","")))</f>
        <v/>
      </c>
      <c r="S45" s="41" t="str">
        <f aca="false">IF(B45="","",B45&amp;"|"&amp;(YEAR(A45)*100+MONTH(A45)))</f>
        <v/>
      </c>
    </row>
    <row r="46" customFormat="false" ht="15" hidden="false" customHeight="false" outlineLevel="0" collapsed="false">
      <c r="A46" s="37"/>
      <c r="C46" s="0" t="str">
        <f aca="false">IF(B46="","",IFERROR(INDEX(Project_Register!$B$6:$B$40,MATCH(B46,Project_Register!$A$6:$A$40,0)),"Unknown ID"))</f>
        <v/>
      </c>
      <c r="D46" s="38"/>
      <c r="E46" s="24"/>
      <c r="F46" s="24"/>
      <c r="G46" s="39"/>
      <c r="J46" s="39"/>
      <c r="K46" s="38" t="str">
        <f aca="false">IF(OR(B46="",T46="On Hold"),"",MAX(0,MIN(1,(A46-INDEX(Project_Register!$G$6:$G$40,MATCH(B46,Project_Register!$A$6:$A$40,0)))/(INDEX(Project_Register!$H$6:$H$40,MATCH(B46,Project_Register!$A$6:$A$40,0))-INDEX(Project_Register!$G$6:$G$40,MATCH(B46,Project_Register!$A$6:$A$40,0))))))</f>
        <v/>
      </c>
      <c r="L46" s="40" t="str">
        <f aca="false">IF(OR(B46="",D46="",T46="On Hold"),"",ROUND((D46-K46)*100,0))</f>
        <v/>
      </c>
      <c r="M46" s="38" t="str">
        <f aca="false">IF(OR(B46="",F46=""),"",F46/INDEX(Project_Register!$I$6:$I$40,MATCH(B46,Project_Register!$A$6:$A$40,0)))</f>
        <v/>
      </c>
      <c r="N46" s="40" t="str">
        <f aca="false">IF(OR(B46="",G46="",T46="On Hold"),"",G46-INDEX(Project_Register!$H$6:$H$40,MATCH(B46,Project_Register!$A$6:$A$40,0)))</f>
        <v/>
      </c>
      <c r="O46" s="0" t="str">
        <f aca="false">IF(B46="","",IF(D46="","No update",IF(AND(T46&lt;&gt;"Active",D46&lt;1),T46,IF(D46&gt;=1,"Complete",IF(OR(L46&lt;=SV_Red,M46&gt;Cost_Red,N46&gt;Slip_Red),"Red",IF(OR(L46&lt;=SV_Amber,M46&gt;Cost_Amber,N46&gt;Slip_Amber),"Amber","Green"))))))</f>
        <v/>
      </c>
      <c r="P46" s="0" t="str">
        <f aca="false">IF(AND(H46="Green",OR(O46="Amber",O46="Red")),"Watermelon","")</f>
        <v/>
      </c>
      <c r="Q46" s="0" t="str">
        <f aca="false">IF(B46="","",IF(J46="","Missing",IF(J46&gt;A46+UpdateDue,"Late","On time")))</f>
        <v/>
      </c>
      <c r="R46" s="0" t="str">
        <f aca="false">IF(OR(B46="",D46=""),"",IF(COUNTIFS($B$6:$B$400,B46,$A$6:$A$400,EOMONTH(A46,-1))=0,"",IF(D46&lt;SUMIFS($D$6:$D$400,$B$6:$B$400,B46,$A$6:$A$400,EOMONTH(A46,-1)),"Dropped","")))</f>
        <v/>
      </c>
      <c r="S46" s="41" t="str">
        <f aca="false">IF(B46="","",B46&amp;"|"&amp;(YEAR(A46)*100+MONTH(A46)))</f>
        <v/>
      </c>
    </row>
    <row r="47" customFormat="false" ht="15" hidden="false" customHeight="false" outlineLevel="0" collapsed="false">
      <c r="A47" s="37"/>
      <c r="C47" s="0" t="str">
        <f aca="false">IF(B47="","",IFERROR(INDEX(Project_Register!$B$6:$B$40,MATCH(B47,Project_Register!$A$6:$A$40,0)),"Unknown ID"))</f>
        <v/>
      </c>
      <c r="D47" s="38"/>
      <c r="E47" s="24"/>
      <c r="F47" s="24"/>
      <c r="G47" s="39"/>
      <c r="J47" s="39"/>
      <c r="K47" s="38" t="str">
        <f aca="false">IF(OR(B47="",T47="On Hold"),"",MAX(0,MIN(1,(A47-INDEX(Project_Register!$G$6:$G$40,MATCH(B47,Project_Register!$A$6:$A$40,0)))/(INDEX(Project_Register!$H$6:$H$40,MATCH(B47,Project_Register!$A$6:$A$40,0))-INDEX(Project_Register!$G$6:$G$40,MATCH(B47,Project_Register!$A$6:$A$40,0))))))</f>
        <v/>
      </c>
      <c r="L47" s="40" t="str">
        <f aca="false">IF(OR(B47="",D47="",T47="On Hold"),"",ROUND((D47-K47)*100,0))</f>
        <v/>
      </c>
      <c r="M47" s="38" t="str">
        <f aca="false">IF(OR(B47="",F47=""),"",F47/INDEX(Project_Register!$I$6:$I$40,MATCH(B47,Project_Register!$A$6:$A$40,0)))</f>
        <v/>
      </c>
      <c r="N47" s="40" t="str">
        <f aca="false">IF(OR(B47="",G47="",T47="On Hold"),"",G47-INDEX(Project_Register!$H$6:$H$40,MATCH(B47,Project_Register!$A$6:$A$40,0)))</f>
        <v/>
      </c>
      <c r="O47" s="0" t="str">
        <f aca="false">IF(B47="","",IF(D47="","No update",IF(AND(T47&lt;&gt;"Active",D47&lt;1),T47,IF(D47&gt;=1,"Complete",IF(OR(L47&lt;=SV_Red,M47&gt;Cost_Red,N47&gt;Slip_Red),"Red",IF(OR(L47&lt;=SV_Amber,M47&gt;Cost_Amber,N47&gt;Slip_Amber),"Amber","Green"))))))</f>
        <v/>
      </c>
      <c r="P47" s="0" t="str">
        <f aca="false">IF(AND(H47="Green",OR(O47="Amber",O47="Red")),"Watermelon","")</f>
        <v/>
      </c>
      <c r="Q47" s="0" t="str">
        <f aca="false">IF(B47="","",IF(J47="","Missing",IF(J47&gt;A47+UpdateDue,"Late","On time")))</f>
        <v/>
      </c>
      <c r="R47" s="0" t="str">
        <f aca="false">IF(OR(B47="",D47=""),"",IF(COUNTIFS($B$6:$B$400,B47,$A$6:$A$400,EOMONTH(A47,-1))=0,"",IF(D47&lt;SUMIFS($D$6:$D$400,$B$6:$B$400,B47,$A$6:$A$400,EOMONTH(A47,-1)),"Dropped","")))</f>
        <v/>
      </c>
      <c r="S47" s="41" t="str">
        <f aca="false">IF(B47="","",B47&amp;"|"&amp;(YEAR(A47)*100+MONTH(A47)))</f>
        <v/>
      </c>
    </row>
    <row r="48" customFormat="false" ht="15" hidden="false" customHeight="false" outlineLevel="0" collapsed="false">
      <c r="A48" s="37"/>
      <c r="C48" s="0" t="str">
        <f aca="false">IF(B48="","",IFERROR(INDEX(Project_Register!$B$6:$B$40,MATCH(B48,Project_Register!$A$6:$A$40,0)),"Unknown ID"))</f>
        <v/>
      </c>
      <c r="D48" s="38"/>
      <c r="E48" s="24"/>
      <c r="F48" s="24"/>
      <c r="G48" s="39"/>
      <c r="J48" s="39"/>
      <c r="K48" s="38" t="str">
        <f aca="false">IF(OR(B48="",T48="On Hold"),"",MAX(0,MIN(1,(A48-INDEX(Project_Register!$G$6:$G$40,MATCH(B48,Project_Register!$A$6:$A$40,0)))/(INDEX(Project_Register!$H$6:$H$40,MATCH(B48,Project_Register!$A$6:$A$40,0))-INDEX(Project_Register!$G$6:$G$40,MATCH(B48,Project_Register!$A$6:$A$40,0))))))</f>
        <v/>
      </c>
      <c r="L48" s="40" t="str">
        <f aca="false">IF(OR(B48="",D48="",T48="On Hold"),"",ROUND((D48-K48)*100,0))</f>
        <v/>
      </c>
      <c r="M48" s="38" t="str">
        <f aca="false">IF(OR(B48="",F48=""),"",F48/INDEX(Project_Register!$I$6:$I$40,MATCH(B48,Project_Register!$A$6:$A$40,0)))</f>
        <v/>
      </c>
      <c r="N48" s="40" t="str">
        <f aca="false">IF(OR(B48="",G48="",T48="On Hold"),"",G48-INDEX(Project_Register!$H$6:$H$40,MATCH(B48,Project_Register!$A$6:$A$40,0)))</f>
        <v/>
      </c>
      <c r="O48" s="0" t="str">
        <f aca="false">IF(B48="","",IF(D48="","No update",IF(AND(T48&lt;&gt;"Active",D48&lt;1),T48,IF(D48&gt;=1,"Complete",IF(OR(L48&lt;=SV_Red,M48&gt;Cost_Red,N48&gt;Slip_Red),"Red",IF(OR(L48&lt;=SV_Amber,M48&gt;Cost_Amber,N48&gt;Slip_Amber),"Amber","Green"))))))</f>
        <v/>
      </c>
      <c r="P48" s="0" t="str">
        <f aca="false">IF(AND(H48="Green",OR(O48="Amber",O48="Red")),"Watermelon","")</f>
        <v/>
      </c>
      <c r="Q48" s="0" t="str">
        <f aca="false">IF(B48="","",IF(J48="","Missing",IF(J48&gt;A48+UpdateDue,"Late","On time")))</f>
        <v/>
      </c>
      <c r="R48" s="0" t="str">
        <f aca="false">IF(OR(B48="",D48=""),"",IF(COUNTIFS($B$6:$B$400,B48,$A$6:$A$400,EOMONTH(A48,-1))=0,"",IF(D48&lt;SUMIFS($D$6:$D$400,$B$6:$B$400,B48,$A$6:$A$400,EOMONTH(A48,-1)),"Dropped","")))</f>
        <v/>
      </c>
      <c r="S48" s="41" t="str">
        <f aca="false">IF(B48="","",B48&amp;"|"&amp;(YEAR(A48)*100+MONTH(A48)))</f>
        <v/>
      </c>
    </row>
    <row r="49" customFormat="false" ht="15" hidden="false" customHeight="false" outlineLevel="0" collapsed="false">
      <c r="A49" s="37"/>
      <c r="C49" s="0" t="str">
        <f aca="false">IF(B49="","",IFERROR(INDEX(Project_Register!$B$6:$B$40,MATCH(B49,Project_Register!$A$6:$A$40,0)),"Unknown ID"))</f>
        <v/>
      </c>
      <c r="D49" s="38"/>
      <c r="E49" s="24"/>
      <c r="F49" s="24"/>
      <c r="G49" s="39"/>
      <c r="J49" s="39"/>
      <c r="K49" s="38" t="str">
        <f aca="false">IF(OR(B49="",T49="On Hold"),"",MAX(0,MIN(1,(A49-INDEX(Project_Register!$G$6:$G$40,MATCH(B49,Project_Register!$A$6:$A$40,0)))/(INDEX(Project_Register!$H$6:$H$40,MATCH(B49,Project_Register!$A$6:$A$40,0))-INDEX(Project_Register!$G$6:$G$40,MATCH(B49,Project_Register!$A$6:$A$40,0))))))</f>
        <v/>
      </c>
      <c r="L49" s="40" t="str">
        <f aca="false">IF(OR(B49="",D49="",T49="On Hold"),"",ROUND((D49-K49)*100,0))</f>
        <v/>
      </c>
      <c r="M49" s="38" t="str">
        <f aca="false">IF(OR(B49="",F49=""),"",F49/INDEX(Project_Register!$I$6:$I$40,MATCH(B49,Project_Register!$A$6:$A$40,0)))</f>
        <v/>
      </c>
      <c r="N49" s="40" t="str">
        <f aca="false">IF(OR(B49="",G49="",T49="On Hold"),"",G49-INDEX(Project_Register!$H$6:$H$40,MATCH(B49,Project_Register!$A$6:$A$40,0)))</f>
        <v/>
      </c>
      <c r="O49" s="0" t="str">
        <f aca="false">IF(B49="","",IF(D49="","No update",IF(AND(T49&lt;&gt;"Active",D49&lt;1),T49,IF(D49&gt;=1,"Complete",IF(OR(L49&lt;=SV_Red,M49&gt;Cost_Red,N49&gt;Slip_Red),"Red",IF(OR(L49&lt;=SV_Amber,M49&gt;Cost_Amber,N49&gt;Slip_Amber),"Amber","Green"))))))</f>
        <v/>
      </c>
      <c r="P49" s="0" t="str">
        <f aca="false">IF(AND(H49="Green",OR(O49="Amber",O49="Red")),"Watermelon","")</f>
        <v/>
      </c>
      <c r="Q49" s="0" t="str">
        <f aca="false">IF(B49="","",IF(J49="","Missing",IF(J49&gt;A49+UpdateDue,"Late","On time")))</f>
        <v/>
      </c>
      <c r="R49" s="0" t="str">
        <f aca="false">IF(OR(B49="",D49=""),"",IF(COUNTIFS($B$6:$B$400,B49,$A$6:$A$400,EOMONTH(A49,-1))=0,"",IF(D49&lt;SUMIFS($D$6:$D$400,$B$6:$B$400,B49,$A$6:$A$400,EOMONTH(A49,-1)),"Dropped","")))</f>
        <v/>
      </c>
      <c r="S49" s="41" t="str">
        <f aca="false">IF(B49="","",B49&amp;"|"&amp;(YEAR(A49)*100+MONTH(A49)))</f>
        <v/>
      </c>
    </row>
    <row r="50" customFormat="false" ht="15" hidden="false" customHeight="false" outlineLevel="0" collapsed="false">
      <c r="A50" s="37"/>
      <c r="C50" s="0" t="str">
        <f aca="false">IF(B50="","",IFERROR(INDEX(Project_Register!$B$6:$B$40,MATCH(B50,Project_Register!$A$6:$A$40,0)),"Unknown ID"))</f>
        <v/>
      </c>
      <c r="D50" s="38"/>
      <c r="E50" s="24"/>
      <c r="F50" s="24"/>
      <c r="G50" s="39"/>
      <c r="J50" s="39"/>
      <c r="K50" s="38" t="str">
        <f aca="false">IF(OR(B50="",T50="On Hold"),"",MAX(0,MIN(1,(A50-INDEX(Project_Register!$G$6:$G$40,MATCH(B50,Project_Register!$A$6:$A$40,0)))/(INDEX(Project_Register!$H$6:$H$40,MATCH(B50,Project_Register!$A$6:$A$40,0))-INDEX(Project_Register!$G$6:$G$40,MATCH(B50,Project_Register!$A$6:$A$40,0))))))</f>
        <v/>
      </c>
      <c r="L50" s="40" t="str">
        <f aca="false">IF(OR(B50="",D50="",T50="On Hold"),"",ROUND((D50-K50)*100,0))</f>
        <v/>
      </c>
      <c r="M50" s="38" t="str">
        <f aca="false">IF(OR(B50="",F50=""),"",F50/INDEX(Project_Register!$I$6:$I$40,MATCH(B50,Project_Register!$A$6:$A$40,0)))</f>
        <v/>
      </c>
      <c r="N50" s="40" t="str">
        <f aca="false">IF(OR(B50="",G50="",T50="On Hold"),"",G50-INDEX(Project_Register!$H$6:$H$40,MATCH(B50,Project_Register!$A$6:$A$40,0)))</f>
        <v/>
      </c>
      <c r="O50" s="0" t="str">
        <f aca="false">IF(B50="","",IF(D50="","No update",IF(AND(T50&lt;&gt;"Active",D50&lt;1),T50,IF(D50&gt;=1,"Complete",IF(OR(L50&lt;=SV_Red,M50&gt;Cost_Red,N50&gt;Slip_Red),"Red",IF(OR(L50&lt;=SV_Amber,M50&gt;Cost_Amber,N50&gt;Slip_Amber),"Amber","Green"))))))</f>
        <v/>
      </c>
      <c r="P50" s="0" t="str">
        <f aca="false">IF(AND(H50="Green",OR(O50="Amber",O50="Red")),"Watermelon","")</f>
        <v/>
      </c>
      <c r="Q50" s="0" t="str">
        <f aca="false">IF(B50="","",IF(J50="","Missing",IF(J50&gt;A50+UpdateDue,"Late","On time")))</f>
        <v/>
      </c>
      <c r="R50" s="0" t="str">
        <f aca="false">IF(OR(B50="",D50=""),"",IF(COUNTIFS($B$6:$B$400,B50,$A$6:$A$400,EOMONTH(A50,-1))=0,"",IF(D50&lt;SUMIFS($D$6:$D$400,$B$6:$B$400,B50,$A$6:$A$400,EOMONTH(A50,-1)),"Dropped","")))</f>
        <v/>
      </c>
      <c r="S50" s="41" t="str">
        <f aca="false">IF(B50="","",B50&amp;"|"&amp;(YEAR(A50)*100+MONTH(A50)))</f>
        <v/>
      </c>
    </row>
    <row r="51" customFormat="false" ht="15" hidden="false" customHeight="false" outlineLevel="0" collapsed="false">
      <c r="A51" s="37"/>
      <c r="C51" s="0" t="str">
        <f aca="false">IF(B51="","",IFERROR(INDEX(Project_Register!$B$6:$B$40,MATCH(B51,Project_Register!$A$6:$A$40,0)),"Unknown ID"))</f>
        <v/>
      </c>
      <c r="D51" s="38"/>
      <c r="E51" s="24"/>
      <c r="F51" s="24"/>
      <c r="G51" s="39"/>
      <c r="J51" s="39"/>
      <c r="K51" s="38" t="str">
        <f aca="false">IF(OR(B51="",T51="On Hold"),"",MAX(0,MIN(1,(A51-INDEX(Project_Register!$G$6:$G$40,MATCH(B51,Project_Register!$A$6:$A$40,0)))/(INDEX(Project_Register!$H$6:$H$40,MATCH(B51,Project_Register!$A$6:$A$40,0))-INDEX(Project_Register!$G$6:$G$40,MATCH(B51,Project_Register!$A$6:$A$40,0))))))</f>
        <v/>
      </c>
      <c r="L51" s="40" t="str">
        <f aca="false">IF(OR(B51="",D51="",T51="On Hold"),"",ROUND((D51-K51)*100,0))</f>
        <v/>
      </c>
      <c r="M51" s="38" t="str">
        <f aca="false">IF(OR(B51="",F51=""),"",F51/INDEX(Project_Register!$I$6:$I$40,MATCH(B51,Project_Register!$A$6:$A$40,0)))</f>
        <v/>
      </c>
      <c r="N51" s="40" t="str">
        <f aca="false">IF(OR(B51="",G51="",T51="On Hold"),"",G51-INDEX(Project_Register!$H$6:$H$40,MATCH(B51,Project_Register!$A$6:$A$40,0)))</f>
        <v/>
      </c>
      <c r="O51" s="0" t="str">
        <f aca="false">IF(B51="","",IF(D51="","No update",IF(AND(T51&lt;&gt;"Active",D51&lt;1),T51,IF(D51&gt;=1,"Complete",IF(OR(L51&lt;=SV_Red,M51&gt;Cost_Red,N51&gt;Slip_Red),"Red",IF(OR(L51&lt;=SV_Amber,M51&gt;Cost_Amber,N51&gt;Slip_Amber),"Amber","Green"))))))</f>
        <v/>
      </c>
      <c r="P51" s="0" t="str">
        <f aca="false">IF(AND(H51="Green",OR(O51="Amber",O51="Red")),"Watermelon","")</f>
        <v/>
      </c>
      <c r="Q51" s="0" t="str">
        <f aca="false">IF(B51="","",IF(J51="","Missing",IF(J51&gt;A51+UpdateDue,"Late","On time")))</f>
        <v/>
      </c>
      <c r="R51" s="0" t="str">
        <f aca="false">IF(OR(B51="",D51=""),"",IF(COUNTIFS($B$6:$B$400,B51,$A$6:$A$400,EOMONTH(A51,-1))=0,"",IF(D51&lt;SUMIFS($D$6:$D$400,$B$6:$B$400,B51,$A$6:$A$400,EOMONTH(A51,-1)),"Dropped","")))</f>
        <v/>
      </c>
      <c r="S51" s="41" t="str">
        <f aca="false">IF(B51="","",B51&amp;"|"&amp;(YEAR(A51)*100+MONTH(A51)))</f>
        <v/>
      </c>
    </row>
    <row r="52" customFormat="false" ht="15" hidden="false" customHeight="false" outlineLevel="0" collapsed="false">
      <c r="A52" s="37"/>
      <c r="C52" s="0" t="str">
        <f aca="false">IF(B52="","",IFERROR(INDEX(Project_Register!$B$6:$B$40,MATCH(B52,Project_Register!$A$6:$A$40,0)),"Unknown ID"))</f>
        <v/>
      </c>
      <c r="D52" s="38"/>
      <c r="E52" s="24"/>
      <c r="F52" s="24"/>
      <c r="G52" s="39"/>
      <c r="J52" s="39"/>
      <c r="K52" s="38" t="str">
        <f aca="false">IF(OR(B52="",T52="On Hold"),"",MAX(0,MIN(1,(A52-INDEX(Project_Register!$G$6:$G$40,MATCH(B52,Project_Register!$A$6:$A$40,0)))/(INDEX(Project_Register!$H$6:$H$40,MATCH(B52,Project_Register!$A$6:$A$40,0))-INDEX(Project_Register!$G$6:$G$40,MATCH(B52,Project_Register!$A$6:$A$40,0))))))</f>
        <v/>
      </c>
      <c r="L52" s="40" t="str">
        <f aca="false">IF(OR(B52="",D52="",T52="On Hold"),"",ROUND((D52-K52)*100,0))</f>
        <v/>
      </c>
      <c r="M52" s="38" t="str">
        <f aca="false">IF(OR(B52="",F52=""),"",F52/INDEX(Project_Register!$I$6:$I$40,MATCH(B52,Project_Register!$A$6:$A$40,0)))</f>
        <v/>
      </c>
      <c r="N52" s="40" t="str">
        <f aca="false">IF(OR(B52="",G52="",T52="On Hold"),"",G52-INDEX(Project_Register!$H$6:$H$40,MATCH(B52,Project_Register!$A$6:$A$40,0)))</f>
        <v/>
      </c>
      <c r="O52" s="0" t="str">
        <f aca="false">IF(B52="","",IF(D52="","No update",IF(AND(T52&lt;&gt;"Active",D52&lt;1),T52,IF(D52&gt;=1,"Complete",IF(OR(L52&lt;=SV_Red,M52&gt;Cost_Red,N52&gt;Slip_Red),"Red",IF(OR(L52&lt;=SV_Amber,M52&gt;Cost_Amber,N52&gt;Slip_Amber),"Amber","Green"))))))</f>
        <v/>
      </c>
      <c r="P52" s="0" t="str">
        <f aca="false">IF(AND(H52="Green",OR(O52="Amber",O52="Red")),"Watermelon","")</f>
        <v/>
      </c>
      <c r="Q52" s="0" t="str">
        <f aca="false">IF(B52="","",IF(J52="","Missing",IF(J52&gt;A52+UpdateDue,"Late","On time")))</f>
        <v/>
      </c>
      <c r="R52" s="0" t="str">
        <f aca="false">IF(OR(B52="",D52=""),"",IF(COUNTIFS($B$6:$B$400,B52,$A$6:$A$400,EOMONTH(A52,-1))=0,"",IF(D52&lt;SUMIFS($D$6:$D$400,$B$6:$B$400,B52,$A$6:$A$400,EOMONTH(A52,-1)),"Dropped","")))</f>
        <v/>
      </c>
      <c r="S52" s="41" t="str">
        <f aca="false">IF(B52="","",B52&amp;"|"&amp;(YEAR(A52)*100+MONTH(A52)))</f>
        <v/>
      </c>
    </row>
    <row r="53" customFormat="false" ht="15" hidden="false" customHeight="false" outlineLevel="0" collapsed="false">
      <c r="A53" s="37"/>
      <c r="C53" s="0" t="str">
        <f aca="false">IF(B53="","",IFERROR(INDEX(Project_Register!$B$6:$B$40,MATCH(B53,Project_Register!$A$6:$A$40,0)),"Unknown ID"))</f>
        <v/>
      </c>
      <c r="D53" s="38"/>
      <c r="E53" s="24"/>
      <c r="F53" s="24"/>
      <c r="G53" s="39"/>
      <c r="J53" s="39"/>
      <c r="K53" s="38" t="str">
        <f aca="false">IF(OR(B53="",T53="On Hold"),"",MAX(0,MIN(1,(A53-INDEX(Project_Register!$G$6:$G$40,MATCH(B53,Project_Register!$A$6:$A$40,0)))/(INDEX(Project_Register!$H$6:$H$40,MATCH(B53,Project_Register!$A$6:$A$40,0))-INDEX(Project_Register!$G$6:$G$40,MATCH(B53,Project_Register!$A$6:$A$40,0))))))</f>
        <v/>
      </c>
      <c r="L53" s="40" t="str">
        <f aca="false">IF(OR(B53="",D53="",T53="On Hold"),"",ROUND((D53-K53)*100,0))</f>
        <v/>
      </c>
      <c r="M53" s="38" t="str">
        <f aca="false">IF(OR(B53="",F53=""),"",F53/INDEX(Project_Register!$I$6:$I$40,MATCH(B53,Project_Register!$A$6:$A$40,0)))</f>
        <v/>
      </c>
      <c r="N53" s="40" t="str">
        <f aca="false">IF(OR(B53="",G53="",T53="On Hold"),"",G53-INDEX(Project_Register!$H$6:$H$40,MATCH(B53,Project_Register!$A$6:$A$40,0)))</f>
        <v/>
      </c>
      <c r="O53" s="0" t="str">
        <f aca="false">IF(B53="","",IF(D53="","No update",IF(AND(T53&lt;&gt;"Active",D53&lt;1),T53,IF(D53&gt;=1,"Complete",IF(OR(L53&lt;=SV_Red,M53&gt;Cost_Red,N53&gt;Slip_Red),"Red",IF(OR(L53&lt;=SV_Amber,M53&gt;Cost_Amber,N53&gt;Slip_Amber),"Amber","Green"))))))</f>
        <v/>
      </c>
      <c r="P53" s="0" t="str">
        <f aca="false">IF(AND(H53="Green",OR(O53="Amber",O53="Red")),"Watermelon","")</f>
        <v/>
      </c>
      <c r="Q53" s="0" t="str">
        <f aca="false">IF(B53="","",IF(J53="","Missing",IF(J53&gt;A53+UpdateDue,"Late","On time")))</f>
        <v/>
      </c>
      <c r="R53" s="0" t="str">
        <f aca="false">IF(OR(B53="",D53=""),"",IF(COUNTIFS($B$6:$B$400,B53,$A$6:$A$400,EOMONTH(A53,-1))=0,"",IF(D53&lt;SUMIFS($D$6:$D$400,$B$6:$B$400,B53,$A$6:$A$400,EOMONTH(A53,-1)),"Dropped","")))</f>
        <v/>
      </c>
      <c r="S53" s="41" t="str">
        <f aca="false">IF(B53="","",B53&amp;"|"&amp;(YEAR(A53)*100+MONTH(A53)))</f>
        <v/>
      </c>
    </row>
    <row r="54" customFormat="false" ht="15" hidden="false" customHeight="false" outlineLevel="0" collapsed="false">
      <c r="A54" s="37"/>
      <c r="C54" s="0" t="str">
        <f aca="false">IF(B54="","",IFERROR(INDEX(Project_Register!$B$6:$B$40,MATCH(B54,Project_Register!$A$6:$A$40,0)),"Unknown ID"))</f>
        <v/>
      </c>
      <c r="D54" s="38"/>
      <c r="E54" s="24"/>
      <c r="F54" s="24"/>
      <c r="G54" s="39"/>
      <c r="J54" s="39"/>
      <c r="K54" s="38" t="str">
        <f aca="false">IF(OR(B54="",T54="On Hold"),"",MAX(0,MIN(1,(A54-INDEX(Project_Register!$G$6:$G$40,MATCH(B54,Project_Register!$A$6:$A$40,0)))/(INDEX(Project_Register!$H$6:$H$40,MATCH(B54,Project_Register!$A$6:$A$40,0))-INDEX(Project_Register!$G$6:$G$40,MATCH(B54,Project_Register!$A$6:$A$40,0))))))</f>
        <v/>
      </c>
      <c r="L54" s="40" t="str">
        <f aca="false">IF(OR(B54="",D54="",T54="On Hold"),"",ROUND((D54-K54)*100,0))</f>
        <v/>
      </c>
      <c r="M54" s="38" t="str">
        <f aca="false">IF(OR(B54="",F54=""),"",F54/INDEX(Project_Register!$I$6:$I$40,MATCH(B54,Project_Register!$A$6:$A$40,0)))</f>
        <v/>
      </c>
      <c r="N54" s="40" t="str">
        <f aca="false">IF(OR(B54="",G54="",T54="On Hold"),"",G54-INDEX(Project_Register!$H$6:$H$40,MATCH(B54,Project_Register!$A$6:$A$40,0)))</f>
        <v/>
      </c>
      <c r="O54" s="0" t="str">
        <f aca="false">IF(B54="","",IF(D54="","No update",IF(AND(T54&lt;&gt;"Active",D54&lt;1),T54,IF(D54&gt;=1,"Complete",IF(OR(L54&lt;=SV_Red,M54&gt;Cost_Red,N54&gt;Slip_Red),"Red",IF(OR(L54&lt;=SV_Amber,M54&gt;Cost_Amber,N54&gt;Slip_Amber),"Amber","Green"))))))</f>
        <v/>
      </c>
      <c r="P54" s="0" t="str">
        <f aca="false">IF(AND(H54="Green",OR(O54="Amber",O54="Red")),"Watermelon","")</f>
        <v/>
      </c>
      <c r="Q54" s="0" t="str">
        <f aca="false">IF(B54="","",IF(J54="","Missing",IF(J54&gt;A54+UpdateDue,"Late","On time")))</f>
        <v/>
      </c>
      <c r="R54" s="0" t="str">
        <f aca="false">IF(OR(B54="",D54=""),"",IF(COUNTIFS($B$6:$B$400,B54,$A$6:$A$400,EOMONTH(A54,-1))=0,"",IF(D54&lt;SUMIFS($D$6:$D$400,$B$6:$B$400,B54,$A$6:$A$400,EOMONTH(A54,-1)),"Dropped","")))</f>
        <v/>
      </c>
      <c r="S54" s="41" t="str">
        <f aca="false">IF(B54="","",B54&amp;"|"&amp;(YEAR(A54)*100+MONTH(A54)))</f>
        <v/>
      </c>
    </row>
    <row r="55" customFormat="false" ht="15" hidden="false" customHeight="false" outlineLevel="0" collapsed="false">
      <c r="A55" s="37"/>
      <c r="C55" s="0" t="str">
        <f aca="false">IF(B55="","",IFERROR(INDEX(Project_Register!$B$6:$B$40,MATCH(B55,Project_Register!$A$6:$A$40,0)),"Unknown ID"))</f>
        <v/>
      </c>
      <c r="D55" s="38"/>
      <c r="E55" s="24"/>
      <c r="F55" s="24"/>
      <c r="G55" s="39"/>
      <c r="J55" s="39"/>
      <c r="K55" s="38" t="str">
        <f aca="false">IF(OR(B55="",T55="On Hold"),"",MAX(0,MIN(1,(A55-INDEX(Project_Register!$G$6:$G$40,MATCH(B55,Project_Register!$A$6:$A$40,0)))/(INDEX(Project_Register!$H$6:$H$40,MATCH(B55,Project_Register!$A$6:$A$40,0))-INDEX(Project_Register!$G$6:$G$40,MATCH(B55,Project_Register!$A$6:$A$40,0))))))</f>
        <v/>
      </c>
      <c r="L55" s="40" t="str">
        <f aca="false">IF(OR(B55="",D55="",T55="On Hold"),"",ROUND((D55-K55)*100,0))</f>
        <v/>
      </c>
      <c r="M55" s="38" t="str">
        <f aca="false">IF(OR(B55="",F55=""),"",F55/INDEX(Project_Register!$I$6:$I$40,MATCH(B55,Project_Register!$A$6:$A$40,0)))</f>
        <v/>
      </c>
      <c r="N55" s="40" t="str">
        <f aca="false">IF(OR(B55="",G55="",T55="On Hold"),"",G55-INDEX(Project_Register!$H$6:$H$40,MATCH(B55,Project_Register!$A$6:$A$40,0)))</f>
        <v/>
      </c>
      <c r="O55" s="0" t="str">
        <f aca="false">IF(B55="","",IF(D55="","No update",IF(AND(T55&lt;&gt;"Active",D55&lt;1),T55,IF(D55&gt;=1,"Complete",IF(OR(L55&lt;=SV_Red,M55&gt;Cost_Red,N55&gt;Slip_Red),"Red",IF(OR(L55&lt;=SV_Amber,M55&gt;Cost_Amber,N55&gt;Slip_Amber),"Amber","Green"))))))</f>
        <v/>
      </c>
      <c r="P55" s="0" t="str">
        <f aca="false">IF(AND(H55="Green",OR(O55="Amber",O55="Red")),"Watermelon","")</f>
        <v/>
      </c>
      <c r="Q55" s="0" t="str">
        <f aca="false">IF(B55="","",IF(J55="","Missing",IF(J55&gt;A55+UpdateDue,"Late","On time")))</f>
        <v/>
      </c>
      <c r="R55" s="0" t="str">
        <f aca="false">IF(OR(B55="",D55=""),"",IF(COUNTIFS($B$6:$B$400,B55,$A$6:$A$400,EOMONTH(A55,-1))=0,"",IF(D55&lt;SUMIFS($D$6:$D$400,$B$6:$B$400,B55,$A$6:$A$400,EOMONTH(A55,-1)),"Dropped","")))</f>
        <v/>
      </c>
      <c r="S55" s="41" t="str">
        <f aca="false">IF(B55="","",B55&amp;"|"&amp;(YEAR(A55)*100+MONTH(A55)))</f>
        <v/>
      </c>
    </row>
    <row r="56" customFormat="false" ht="15" hidden="false" customHeight="false" outlineLevel="0" collapsed="false">
      <c r="A56" s="37"/>
      <c r="C56" s="0" t="str">
        <f aca="false">IF(B56="","",IFERROR(INDEX(Project_Register!$B$6:$B$40,MATCH(B56,Project_Register!$A$6:$A$40,0)),"Unknown ID"))</f>
        <v/>
      </c>
      <c r="D56" s="38"/>
      <c r="E56" s="24"/>
      <c r="F56" s="24"/>
      <c r="G56" s="39"/>
      <c r="J56" s="39"/>
      <c r="K56" s="38" t="str">
        <f aca="false">IF(OR(B56="",T56="On Hold"),"",MAX(0,MIN(1,(A56-INDEX(Project_Register!$G$6:$G$40,MATCH(B56,Project_Register!$A$6:$A$40,0)))/(INDEX(Project_Register!$H$6:$H$40,MATCH(B56,Project_Register!$A$6:$A$40,0))-INDEX(Project_Register!$G$6:$G$40,MATCH(B56,Project_Register!$A$6:$A$40,0))))))</f>
        <v/>
      </c>
      <c r="L56" s="40" t="str">
        <f aca="false">IF(OR(B56="",D56="",T56="On Hold"),"",ROUND((D56-K56)*100,0))</f>
        <v/>
      </c>
      <c r="M56" s="38" t="str">
        <f aca="false">IF(OR(B56="",F56=""),"",F56/INDEX(Project_Register!$I$6:$I$40,MATCH(B56,Project_Register!$A$6:$A$40,0)))</f>
        <v/>
      </c>
      <c r="N56" s="40" t="str">
        <f aca="false">IF(OR(B56="",G56="",T56="On Hold"),"",G56-INDEX(Project_Register!$H$6:$H$40,MATCH(B56,Project_Register!$A$6:$A$40,0)))</f>
        <v/>
      </c>
      <c r="O56" s="0" t="str">
        <f aca="false">IF(B56="","",IF(D56="","No update",IF(AND(T56&lt;&gt;"Active",D56&lt;1),T56,IF(D56&gt;=1,"Complete",IF(OR(L56&lt;=SV_Red,M56&gt;Cost_Red,N56&gt;Slip_Red),"Red",IF(OR(L56&lt;=SV_Amber,M56&gt;Cost_Amber,N56&gt;Slip_Amber),"Amber","Green"))))))</f>
        <v/>
      </c>
      <c r="P56" s="0" t="str">
        <f aca="false">IF(AND(H56="Green",OR(O56="Amber",O56="Red")),"Watermelon","")</f>
        <v/>
      </c>
      <c r="Q56" s="0" t="str">
        <f aca="false">IF(B56="","",IF(J56="","Missing",IF(J56&gt;A56+UpdateDue,"Late","On time")))</f>
        <v/>
      </c>
      <c r="R56" s="0" t="str">
        <f aca="false">IF(OR(B56="",D56=""),"",IF(COUNTIFS($B$6:$B$400,B56,$A$6:$A$400,EOMONTH(A56,-1))=0,"",IF(D56&lt;SUMIFS($D$6:$D$400,$B$6:$B$400,B56,$A$6:$A$400,EOMONTH(A56,-1)),"Dropped","")))</f>
        <v/>
      </c>
      <c r="S56" s="41" t="str">
        <f aca="false">IF(B56="","",B56&amp;"|"&amp;(YEAR(A56)*100+MONTH(A56)))</f>
        <v/>
      </c>
    </row>
    <row r="57" customFormat="false" ht="15" hidden="false" customHeight="false" outlineLevel="0" collapsed="false">
      <c r="A57" s="37"/>
      <c r="C57" s="0" t="str">
        <f aca="false">IF(B57="","",IFERROR(INDEX(Project_Register!$B$6:$B$40,MATCH(B57,Project_Register!$A$6:$A$40,0)),"Unknown ID"))</f>
        <v/>
      </c>
      <c r="D57" s="38"/>
      <c r="E57" s="24"/>
      <c r="F57" s="24"/>
      <c r="G57" s="39"/>
      <c r="J57" s="39"/>
      <c r="K57" s="38" t="str">
        <f aca="false">IF(OR(B57="",T57="On Hold"),"",MAX(0,MIN(1,(A57-INDEX(Project_Register!$G$6:$G$40,MATCH(B57,Project_Register!$A$6:$A$40,0)))/(INDEX(Project_Register!$H$6:$H$40,MATCH(B57,Project_Register!$A$6:$A$40,0))-INDEX(Project_Register!$G$6:$G$40,MATCH(B57,Project_Register!$A$6:$A$40,0))))))</f>
        <v/>
      </c>
      <c r="L57" s="40" t="str">
        <f aca="false">IF(OR(B57="",D57="",T57="On Hold"),"",ROUND((D57-K57)*100,0))</f>
        <v/>
      </c>
      <c r="M57" s="38" t="str">
        <f aca="false">IF(OR(B57="",F57=""),"",F57/INDEX(Project_Register!$I$6:$I$40,MATCH(B57,Project_Register!$A$6:$A$40,0)))</f>
        <v/>
      </c>
      <c r="N57" s="40" t="str">
        <f aca="false">IF(OR(B57="",G57="",T57="On Hold"),"",G57-INDEX(Project_Register!$H$6:$H$40,MATCH(B57,Project_Register!$A$6:$A$40,0)))</f>
        <v/>
      </c>
      <c r="O57" s="0" t="str">
        <f aca="false">IF(B57="","",IF(D57="","No update",IF(AND(T57&lt;&gt;"Active",D57&lt;1),T57,IF(D57&gt;=1,"Complete",IF(OR(L57&lt;=SV_Red,M57&gt;Cost_Red,N57&gt;Slip_Red),"Red",IF(OR(L57&lt;=SV_Amber,M57&gt;Cost_Amber,N57&gt;Slip_Amber),"Amber","Green"))))))</f>
        <v/>
      </c>
      <c r="P57" s="0" t="str">
        <f aca="false">IF(AND(H57="Green",OR(O57="Amber",O57="Red")),"Watermelon","")</f>
        <v/>
      </c>
      <c r="Q57" s="0" t="str">
        <f aca="false">IF(B57="","",IF(J57="","Missing",IF(J57&gt;A57+UpdateDue,"Late","On time")))</f>
        <v/>
      </c>
      <c r="R57" s="0" t="str">
        <f aca="false">IF(OR(B57="",D57=""),"",IF(COUNTIFS($B$6:$B$400,B57,$A$6:$A$400,EOMONTH(A57,-1))=0,"",IF(D57&lt;SUMIFS($D$6:$D$400,$B$6:$B$400,B57,$A$6:$A$400,EOMONTH(A57,-1)),"Dropped","")))</f>
        <v/>
      </c>
      <c r="S57" s="41" t="str">
        <f aca="false">IF(B57="","",B57&amp;"|"&amp;(YEAR(A57)*100+MONTH(A57)))</f>
        <v/>
      </c>
    </row>
    <row r="58" customFormat="false" ht="15" hidden="false" customHeight="false" outlineLevel="0" collapsed="false">
      <c r="A58" s="37"/>
      <c r="C58" s="0" t="str">
        <f aca="false">IF(B58="","",IFERROR(INDEX(Project_Register!$B$6:$B$40,MATCH(B58,Project_Register!$A$6:$A$40,0)),"Unknown ID"))</f>
        <v/>
      </c>
      <c r="D58" s="38"/>
      <c r="E58" s="24"/>
      <c r="F58" s="24"/>
      <c r="G58" s="39"/>
      <c r="J58" s="39"/>
      <c r="K58" s="38" t="str">
        <f aca="false">IF(OR(B58="",T58="On Hold"),"",MAX(0,MIN(1,(A58-INDEX(Project_Register!$G$6:$G$40,MATCH(B58,Project_Register!$A$6:$A$40,0)))/(INDEX(Project_Register!$H$6:$H$40,MATCH(B58,Project_Register!$A$6:$A$40,0))-INDEX(Project_Register!$G$6:$G$40,MATCH(B58,Project_Register!$A$6:$A$40,0))))))</f>
        <v/>
      </c>
      <c r="L58" s="40" t="str">
        <f aca="false">IF(OR(B58="",D58="",T58="On Hold"),"",ROUND((D58-K58)*100,0))</f>
        <v/>
      </c>
      <c r="M58" s="38" t="str">
        <f aca="false">IF(OR(B58="",F58=""),"",F58/INDEX(Project_Register!$I$6:$I$40,MATCH(B58,Project_Register!$A$6:$A$40,0)))</f>
        <v/>
      </c>
      <c r="N58" s="40" t="str">
        <f aca="false">IF(OR(B58="",G58="",T58="On Hold"),"",G58-INDEX(Project_Register!$H$6:$H$40,MATCH(B58,Project_Register!$A$6:$A$40,0)))</f>
        <v/>
      </c>
      <c r="O58" s="0" t="str">
        <f aca="false">IF(B58="","",IF(D58="","No update",IF(AND(T58&lt;&gt;"Active",D58&lt;1),T58,IF(D58&gt;=1,"Complete",IF(OR(L58&lt;=SV_Red,M58&gt;Cost_Red,N58&gt;Slip_Red),"Red",IF(OR(L58&lt;=SV_Amber,M58&gt;Cost_Amber,N58&gt;Slip_Amber),"Amber","Green"))))))</f>
        <v/>
      </c>
      <c r="P58" s="0" t="str">
        <f aca="false">IF(AND(H58="Green",OR(O58="Amber",O58="Red")),"Watermelon","")</f>
        <v/>
      </c>
      <c r="Q58" s="0" t="str">
        <f aca="false">IF(B58="","",IF(J58="","Missing",IF(J58&gt;A58+UpdateDue,"Late","On time")))</f>
        <v/>
      </c>
      <c r="R58" s="0" t="str">
        <f aca="false">IF(OR(B58="",D58=""),"",IF(COUNTIFS($B$6:$B$400,B58,$A$6:$A$400,EOMONTH(A58,-1))=0,"",IF(D58&lt;SUMIFS($D$6:$D$400,$B$6:$B$400,B58,$A$6:$A$400,EOMONTH(A58,-1)),"Dropped","")))</f>
        <v/>
      </c>
      <c r="S58" s="41" t="str">
        <f aca="false">IF(B58="","",B58&amp;"|"&amp;(YEAR(A58)*100+MONTH(A58)))</f>
        <v/>
      </c>
    </row>
    <row r="59" customFormat="false" ht="15" hidden="false" customHeight="false" outlineLevel="0" collapsed="false">
      <c r="A59" s="37"/>
      <c r="C59" s="0" t="str">
        <f aca="false">IF(B59="","",IFERROR(INDEX(Project_Register!$B$6:$B$40,MATCH(B59,Project_Register!$A$6:$A$40,0)),"Unknown ID"))</f>
        <v/>
      </c>
      <c r="D59" s="38"/>
      <c r="E59" s="24"/>
      <c r="F59" s="24"/>
      <c r="G59" s="39"/>
      <c r="J59" s="39"/>
      <c r="K59" s="38" t="str">
        <f aca="false">IF(OR(B59="",T59="On Hold"),"",MAX(0,MIN(1,(A59-INDEX(Project_Register!$G$6:$G$40,MATCH(B59,Project_Register!$A$6:$A$40,0)))/(INDEX(Project_Register!$H$6:$H$40,MATCH(B59,Project_Register!$A$6:$A$40,0))-INDEX(Project_Register!$G$6:$G$40,MATCH(B59,Project_Register!$A$6:$A$40,0))))))</f>
        <v/>
      </c>
      <c r="L59" s="40" t="str">
        <f aca="false">IF(OR(B59="",D59="",T59="On Hold"),"",ROUND((D59-K59)*100,0))</f>
        <v/>
      </c>
      <c r="M59" s="38" t="str">
        <f aca="false">IF(OR(B59="",F59=""),"",F59/INDEX(Project_Register!$I$6:$I$40,MATCH(B59,Project_Register!$A$6:$A$40,0)))</f>
        <v/>
      </c>
      <c r="N59" s="40" t="str">
        <f aca="false">IF(OR(B59="",G59="",T59="On Hold"),"",G59-INDEX(Project_Register!$H$6:$H$40,MATCH(B59,Project_Register!$A$6:$A$40,0)))</f>
        <v/>
      </c>
      <c r="O59" s="0" t="str">
        <f aca="false">IF(B59="","",IF(D59="","No update",IF(AND(T59&lt;&gt;"Active",D59&lt;1),T59,IF(D59&gt;=1,"Complete",IF(OR(L59&lt;=SV_Red,M59&gt;Cost_Red,N59&gt;Slip_Red),"Red",IF(OR(L59&lt;=SV_Amber,M59&gt;Cost_Amber,N59&gt;Slip_Amber),"Amber","Green"))))))</f>
        <v/>
      </c>
      <c r="P59" s="0" t="str">
        <f aca="false">IF(AND(H59="Green",OR(O59="Amber",O59="Red")),"Watermelon","")</f>
        <v/>
      </c>
      <c r="Q59" s="0" t="str">
        <f aca="false">IF(B59="","",IF(J59="","Missing",IF(J59&gt;A59+UpdateDue,"Late","On time")))</f>
        <v/>
      </c>
      <c r="R59" s="0" t="str">
        <f aca="false">IF(OR(B59="",D59=""),"",IF(COUNTIFS($B$6:$B$400,B59,$A$6:$A$400,EOMONTH(A59,-1))=0,"",IF(D59&lt;SUMIFS($D$6:$D$400,$B$6:$B$400,B59,$A$6:$A$400,EOMONTH(A59,-1)),"Dropped","")))</f>
        <v/>
      </c>
      <c r="S59" s="41" t="str">
        <f aca="false">IF(B59="","",B59&amp;"|"&amp;(YEAR(A59)*100+MONTH(A59)))</f>
        <v/>
      </c>
    </row>
    <row r="60" customFormat="false" ht="15" hidden="false" customHeight="false" outlineLevel="0" collapsed="false">
      <c r="A60" s="37"/>
      <c r="C60" s="0" t="str">
        <f aca="false">IF(B60="","",IFERROR(INDEX(Project_Register!$B$6:$B$40,MATCH(B60,Project_Register!$A$6:$A$40,0)),"Unknown ID"))</f>
        <v/>
      </c>
      <c r="D60" s="38"/>
      <c r="E60" s="24"/>
      <c r="F60" s="24"/>
      <c r="G60" s="39"/>
      <c r="J60" s="39"/>
      <c r="K60" s="38" t="str">
        <f aca="false">IF(OR(B60="",T60="On Hold"),"",MAX(0,MIN(1,(A60-INDEX(Project_Register!$G$6:$G$40,MATCH(B60,Project_Register!$A$6:$A$40,0)))/(INDEX(Project_Register!$H$6:$H$40,MATCH(B60,Project_Register!$A$6:$A$40,0))-INDEX(Project_Register!$G$6:$G$40,MATCH(B60,Project_Register!$A$6:$A$40,0))))))</f>
        <v/>
      </c>
      <c r="L60" s="40" t="str">
        <f aca="false">IF(OR(B60="",D60="",T60="On Hold"),"",ROUND((D60-K60)*100,0))</f>
        <v/>
      </c>
      <c r="M60" s="38" t="str">
        <f aca="false">IF(OR(B60="",F60=""),"",F60/INDEX(Project_Register!$I$6:$I$40,MATCH(B60,Project_Register!$A$6:$A$40,0)))</f>
        <v/>
      </c>
      <c r="N60" s="40" t="str">
        <f aca="false">IF(OR(B60="",G60="",T60="On Hold"),"",G60-INDEX(Project_Register!$H$6:$H$40,MATCH(B60,Project_Register!$A$6:$A$40,0)))</f>
        <v/>
      </c>
      <c r="O60" s="0" t="str">
        <f aca="false">IF(B60="","",IF(D60="","No update",IF(AND(T60&lt;&gt;"Active",D60&lt;1),T60,IF(D60&gt;=1,"Complete",IF(OR(L60&lt;=SV_Red,M60&gt;Cost_Red,N60&gt;Slip_Red),"Red",IF(OR(L60&lt;=SV_Amber,M60&gt;Cost_Amber,N60&gt;Slip_Amber),"Amber","Green"))))))</f>
        <v/>
      </c>
      <c r="P60" s="0" t="str">
        <f aca="false">IF(AND(H60="Green",OR(O60="Amber",O60="Red")),"Watermelon","")</f>
        <v/>
      </c>
      <c r="Q60" s="0" t="str">
        <f aca="false">IF(B60="","",IF(J60="","Missing",IF(J60&gt;A60+UpdateDue,"Late","On time")))</f>
        <v/>
      </c>
      <c r="R60" s="0" t="str">
        <f aca="false">IF(OR(B60="",D60=""),"",IF(COUNTIFS($B$6:$B$400,B60,$A$6:$A$400,EOMONTH(A60,-1))=0,"",IF(D60&lt;SUMIFS($D$6:$D$400,$B$6:$B$400,B60,$A$6:$A$400,EOMONTH(A60,-1)),"Dropped","")))</f>
        <v/>
      </c>
      <c r="S60" s="41" t="str">
        <f aca="false">IF(B60="","",B60&amp;"|"&amp;(YEAR(A60)*100+MONTH(A60)))</f>
        <v/>
      </c>
    </row>
    <row r="61" customFormat="false" ht="15" hidden="false" customHeight="false" outlineLevel="0" collapsed="false">
      <c r="A61" s="37"/>
      <c r="C61" s="0" t="str">
        <f aca="false">IF(B61="","",IFERROR(INDEX(Project_Register!$B$6:$B$40,MATCH(B61,Project_Register!$A$6:$A$40,0)),"Unknown ID"))</f>
        <v/>
      </c>
      <c r="D61" s="38"/>
      <c r="E61" s="24"/>
      <c r="F61" s="24"/>
      <c r="G61" s="39"/>
      <c r="J61" s="39"/>
      <c r="K61" s="38" t="str">
        <f aca="false">IF(OR(B61="",T61="On Hold"),"",MAX(0,MIN(1,(A61-INDEX(Project_Register!$G$6:$G$40,MATCH(B61,Project_Register!$A$6:$A$40,0)))/(INDEX(Project_Register!$H$6:$H$40,MATCH(B61,Project_Register!$A$6:$A$40,0))-INDEX(Project_Register!$G$6:$G$40,MATCH(B61,Project_Register!$A$6:$A$40,0))))))</f>
        <v/>
      </c>
      <c r="L61" s="40" t="str">
        <f aca="false">IF(OR(B61="",D61="",T61="On Hold"),"",ROUND((D61-K61)*100,0))</f>
        <v/>
      </c>
      <c r="M61" s="38" t="str">
        <f aca="false">IF(OR(B61="",F61=""),"",F61/INDEX(Project_Register!$I$6:$I$40,MATCH(B61,Project_Register!$A$6:$A$40,0)))</f>
        <v/>
      </c>
      <c r="N61" s="40" t="str">
        <f aca="false">IF(OR(B61="",G61="",T61="On Hold"),"",G61-INDEX(Project_Register!$H$6:$H$40,MATCH(B61,Project_Register!$A$6:$A$40,0)))</f>
        <v/>
      </c>
      <c r="O61" s="0" t="str">
        <f aca="false">IF(B61="","",IF(D61="","No update",IF(AND(T61&lt;&gt;"Active",D61&lt;1),T61,IF(D61&gt;=1,"Complete",IF(OR(L61&lt;=SV_Red,M61&gt;Cost_Red,N61&gt;Slip_Red),"Red",IF(OR(L61&lt;=SV_Amber,M61&gt;Cost_Amber,N61&gt;Slip_Amber),"Amber","Green"))))))</f>
        <v/>
      </c>
      <c r="P61" s="0" t="str">
        <f aca="false">IF(AND(H61="Green",OR(O61="Amber",O61="Red")),"Watermelon","")</f>
        <v/>
      </c>
      <c r="Q61" s="0" t="str">
        <f aca="false">IF(B61="","",IF(J61="","Missing",IF(J61&gt;A61+UpdateDue,"Late","On time")))</f>
        <v/>
      </c>
      <c r="R61" s="0" t="str">
        <f aca="false">IF(OR(B61="",D61=""),"",IF(COUNTIFS($B$6:$B$400,B61,$A$6:$A$400,EOMONTH(A61,-1))=0,"",IF(D61&lt;SUMIFS($D$6:$D$400,$B$6:$B$400,B61,$A$6:$A$400,EOMONTH(A61,-1)),"Dropped","")))</f>
        <v/>
      </c>
      <c r="S61" s="41" t="str">
        <f aca="false">IF(B61="","",B61&amp;"|"&amp;(YEAR(A61)*100+MONTH(A61)))</f>
        <v/>
      </c>
    </row>
    <row r="62" customFormat="false" ht="15" hidden="false" customHeight="false" outlineLevel="0" collapsed="false">
      <c r="A62" s="37"/>
      <c r="C62" s="0" t="str">
        <f aca="false">IF(B62="","",IFERROR(INDEX(Project_Register!$B$6:$B$40,MATCH(B62,Project_Register!$A$6:$A$40,0)),"Unknown ID"))</f>
        <v/>
      </c>
      <c r="D62" s="38"/>
      <c r="E62" s="24"/>
      <c r="F62" s="24"/>
      <c r="G62" s="39"/>
      <c r="J62" s="39"/>
      <c r="K62" s="38" t="str">
        <f aca="false">IF(OR(B62="",T62="On Hold"),"",MAX(0,MIN(1,(A62-INDEX(Project_Register!$G$6:$G$40,MATCH(B62,Project_Register!$A$6:$A$40,0)))/(INDEX(Project_Register!$H$6:$H$40,MATCH(B62,Project_Register!$A$6:$A$40,0))-INDEX(Project_Register!$G$6:$G$40,MATCH(B62,Project_Register!$A$6:$A$40,0))))))</f>
        <v/>
      </c>
      <c r="L62" s="40" t="str">
        <f aca="false">IF(OR(B62="",D62="",T62="On Hold"),"",ROUND((D62-K62)*100,0))</f>
        <v/>
      </c>
      <c r="M62" s="38" t="str">
        <f aca="false">IF(OR(B62="",F62=""),"",F62/INDEX(Project_Register!$I$6:$I$40,MATCH(B62,Project_Register!$A$6:$A$40,0)))</f>
        <v/>
      </c>
      <c r="N62" s="40" t="str">
        <f aca="false">IF(OR(B62="",G62="",T62="On Hold"),"",G62-INDEX(Project_Register!$H$6:$H$40,MATCH(B62,Project_Register!$A$6:$A$40,0)))</f>
        <v/>
      </c>
      <c r="O62" s="0" t="str">
        <f aca="false">IF(B62="","",IF(D62="","No update",IF(AND(T62&lt;&gt;"Active",D62&lt;1),T62,IF(D62&gt;=1,"Complete",IF(OR(L62&lt;=SV_Red,M62&gt;Cost_Red,N62&gt;Slip_Red),"Red",IF(OR(L62&lt;=SV_Amber,M62&gt;Cost_Amber,N62&gt;Slip_Amber),"Amber","Green"))))))</f>
        <v/>
      </c>
      <c r="P62" s="0" t="str">
        <f aca="false">IF(AND(H62="Green",OR(O62="Amber",O62="Red")),"Watermelon","")</f>
        <v/>
      </c>
      <c r="Q62" s="0" t="str">
        <f aca="false">IF(B62="","",IF(J62="","Missing",IF(J62&gt;A62+UpdateDue,"Late","On time")))</f>
        <v/>
      </c>
      <c r="R62" s="0" t="str">
        <f aca="false">IF(OR(B62="",D62=""),"",IF(COUNTIFS($B$6:$B$400,B62,$A$6:$A$400,EOMONTH(A62,-1))=0,"",IF(D62&lt;SUMIFS($D$6:$D$400,$B$6:$B$400,B62,$A$6:$A$400,EOMONTH(A62,-1)),"Dropped","")))</f>
        <v/>
      </c>
      <c r="S62" s="41" t="str">
        <f aca="false">IF(B62="","",B62&amp;"|"&amp;(YEAR(A62)*100+MONTH(A62)))</f>
        <v/>
      </c>
    </row>
    <row r="63" customFormat="false" ht="15" hidden="false" customHeight="false" outlineLevel="0" collapsed="false">
      <c r="A63" s="37"/>
      <c r="C63" s="0" t="str">
        <f aca="false">IF(B63="","",IFERROR(INDEX(Project_Register!$B$6:$B$40,MATCH(B63,Project_Register!$A$6:$A$40,0)),"Unknown ID"))</f>
        <v/>
      </c>
      <c r="D63" s="38"/>
      <c r="E63" s="24"/>
      <c r="F63" s="24"/>
      <c r="G63" s="39"/>
      <c r="J63" s="39"/>
      <c r="K63" s="38" t="str">
        <f aca="false">IF(OR(B63="",T63="On Hold"),"",MAX(0,MIN(1,(A63-INDEX(Project_Register!$G$6:$G$40,MATCH(B63,Project_Register!$A$6:$A$40,0)))/(INDEX(Project_Register!$H$6:$H$40,MATCH(B63,Project_Register!$A$6:$A$40,0))-INDEX(Project_Register!$G$6:$G$40,MATCH(B63,Project_Register!$A$6:$A$40,0))))))</f>
        <v/>
      </c>
      <c r="L63" s="40" t="str">
        <f aca="false">IF(OR(B63="",D63="",T63="On Hold"),"",ROUND((D63-K63)*100,0))</f>
        <v/>
      </c>
      <c r="M63" s="38" t="str">
        <f aca="false">IF(OR(B63="",F63=""),"",F63/INDEX(Project_Register!$I$6:$I$40,MATCH(B63,Project_Register!$A$6:$A$40,0)))</f>
        <v/>
      </c>
      <c r="N63" s="40" t="str">
        <f aca="false">IF(OR(B63="",G63="",T63="On Hold"),"",G63-INDEX(Project_Register!$H$6:$H$40,MATCH(B63,Project_Register!$A$6:$A$40,0)))</f>
        <v/>
      </c>
      <c r="O63" s="0" t="str">
        <f aca="false">IF(B63="","",IF(D63="","No update",IF(AND(T63&lt;&gt;"Active",D63&lt;1),T63,IF(D63&gt;=1,"Complete",IF(OR(L63&lt;=SV_Red,M63&gt;Cost_Red,N63&gt;Slip_Red),"Red",IF(OR(L63&lt;=SV_Amber,M63&gt;Cost_Amber,N63&gt;Slip_Amber),"Amber","Green"))))))</f>
        <v/>
      </c>
      <c r="P63" s="0" t="str">
        <f aca="false">IF(AND(H63="Green",OR(O63="Amber",O63="Red")),"Watermelon","")</f>
        <v/>
      </c>
      <c r="Q63" s="0" t="str">
        <f aca="false">IF(B63="","",IF(J63="","Missing",IF(J63&gt;A63+UpdateDue,"Late","On time")))</f>
        <v/>
      </c>
      <c r="R63" s="0" t="str">
        <f aca="false">IF(OR(B63="",D63=""),"",IF(COUNTIFS($B$6:$B$400,B63,$A$6:$A$400,EOMONTH(A63,-1))=0,"",IF(D63&lt;SUMIFS($D$6:$D$400,$B$6:$B$400,B63,$A$6:$A$400,EOMONTH(A63,-1)),"Dropped","")))</f>
        <v/>
      </c>
      <c r="S63" s="41" t="str">
        <f aca="false">IF(B63="","",B63&amp;"|"&amp;(YEAR(A63)*100+MONTH(A63)))</f>
        <v/>
      </c>
    </row>
    <row r="64" customFormat="false" ht="15" hidden="false" customHeight="false" outlineLevel="0" collapsed="false">
      <c r="A64" s="37"/>
      <c r="C64" s="0" t="str">
        <f aca="false">IF(B64="","",IFERROR(INDEX(Project_Register!$B$6:$B$40,MATCH(B64,Project_Register!$A$6:$A$40,0)),"Unknown ID"))</f>
        <v/>
      </c>
      <c r="D64" s="38"/>
      <c r="E64" s="24"/>
      <c r="F64" s="24"/>
      <c r="G64" s="39"/>
      <c r="J64" s="39"/>
      <c r="K64" s="38" t="str">
        <f aca="false">IF(OR(B64="",T64="On Hold"),"",MAX(0,MIN(1,(A64-INDEX(Project_Register!$G$6:$G$40,MATCH(B64,Project_Register!$A$6:$A$40,0)))/(INDEX(Project_Register!$H$6:$H$40,MATCH(B64,Project_Register!$A$6:$A$40,0))-INDEX(Project_Register!$G$6:$G$40,MATCH(B64,Project_Register!$A$6:$A$40,0))))))</f>
        <v/>
      </c>
      <c r="L64" s="40" t="str">
        <f aca="false">IF(OR(B64="",D64="",T64="On Hold"),"",ROUND((D64-K64)*100,0))</f>
        <v/>
      </c>
      <c r="M64" s="38" t="str">
        <f aca="false">IF(OR(B64="",F64=""),"",F64/INDEX(Project_Register!$I$6:$I$40,MATCH(B64,Project_Register!$A$6:$A$40,0)))</f>
        <v/>
      </c>
      <c r="N64" s="40" t="str">
        <f aca="false">IF(OR(B64="",G64="",T64="On Hold"),"",G64-INDEX(Project_Register!$H$6:$H$40,MATCH(B64,Project_Register!$A$6:$A$40,0)))</f>
        <v/>
      </c>
      <c r="O64" s="0" t="str">
        <f aca="false">IF(B64="","",IF(D64="","No update",IF(AND(T64&lt;&gt;"Active",D64&lt;1),T64,IF(D64&gt;=1,"Complete",IF(OR(L64&lt;=SV_Red,M64&gt;Cost_Red,N64&gt;Slip_Red),"Red",IF(OR(L64&lt;=SV_Amber,M64&gt;Cost_Amber,N64&gt;Slip_Amber),"Amber","Green"))))))</f>
        <v/>
      </c>
      <c r="P64" s="0" t="str">
        <f aca="false">IF(AND(H64="Green",OR(O64="Amber",O64="Red")),"Watermelon","")</f>
        <v/>
      </c>
      <c r="Q64" s="0" t="str">
        <f aca="false">IF(B64="","",IF(J64="","Missing",IF(J64&gt;A64+UpdateDue,"Late","On time")))</f>
        <v/>
      </c>
      <c r="R64" s="0" t="str">
        <f aca="false">IF(OR(B64="",D64=""),"",IF(COUNTIFS($B$6:$B$400,B64,$A$6:$A$400,EOMONTH(A64,-1))=0,"",IF(D64&lt;SUMIFS($D$6:$D$400,$B$6:$B$400,B64,$A$6:$A$400,EOMONTH(A64,-1)),"Dropped","")))</f>
        <v/>
      </c>
      <c r="S64" s="41" t="str">
        <f aca="false">IF(B64="","",B64&amp;"|"&amp;(YEAR(A64)*100+MONTH(A64)))</f>
        <v/>
      </c>
    </row>
    <row r="65" customFormat="false" ht="15" hidden="false" customHeight="false" outlineLevel="0" collapsed="false">
      <c r="A65" s="37"/>
      <c r="C65" s="0" t="str">
        <f aca="false">IF(B65="","",IFERROR(INDEX(Project_Register!$B$6:$B$40,MATCH(B65,Project_Register!$A$6:$A$40,0)),"Unknown ID"))</f>
        <v/>
      </c>
      <c r="D65" s="38"/>
      <c r="E65" s="24"/>
      <c r="F65" s="24"/>
      <c r="G65" s="39"/>
      <c r="J65" s="39"/>
      <c r="K65" s="38" t="str">
        <f aca="false">IF(OR(B65="",T65="On Hold"),"",MAX(0,MIN(1,(A65-INDEX(Project_Register!$G$6:$G$40,MATCH(B65,Project_Register!$A$6:$A$40,0)))/(INDEX(Project_Register!$H$6:$H$40,MATCH(B65,Project_Register!$A$6:$A$40,0))-INDEX(Project_Register!$G$6:$G$40,MATCH(B65,Project_Register!$A$6:$A$40,0))))))</f>
        <v/>
      </c>
      <c r="L65" s="40" t="str">
        <f aca="false">IF(OR(B65="",D65="",T65="On Hold"),"",ROUND((D65-K65)*100,0))</f>
        <v/>
      </c>
      <c r="M65" s="38" t="str">
        <f aca="false">IF(OR(B65="",F65=""),"",F65/INDEX(Project_Register!$I$6:$I$40,MATCH(B65,Project_Register!$A$6:$A$40,0)))</f>
        <v/>
      </c>
      <c r="N65" s="40" t="str">
        <f aca="false">IF(OR(B65="",G65="",T65="On Hold"),"",G65-INDEX(Project_Register!$H$6:$H$40,MATCH(B65,Project_Register!$A$6:$A$40,0)))</f>
        <v/>
      </c>
      <c r="O65" s="0" t="str">
        <f aca="false">IF(B65="","",IF(D65="","No update",IF(AND(T65&lt;&gt;"Active",D65&lt;1),T65,IF(D65&gt;=1,"Complete",IF(OR(L65&lt;=SV_Red,M65&gt;Cost_Red,N65&gt;Slip_Red),"Red",IF(OR(L65&lt;=SV_Amber,M65&gt;Cost_Amber,N65&gt;Slip_Amber),"Amber","Green"))))))</f>
        <v/>
      </c>
      <c r="P65" s="0" t="str">
        <f aca="false">IF(AND(H65="Green",OR(O65="Amber",O65="Red")),"Watermelon","")</f>
        <v/>
      </c>
      <c r="Q65" s="0" t="str">
        <f aca="false">IF(B65="","",IF(J65="","Missing",IF(J65&gt;A65+UpdateDue,"Late","On time")))</f>
        <v/>
      </c>
      <c r="R65" s="0" t="str">
        <f aca="false">IF(OR(B65="",D65=""),"",IF(COUNTIFS($B$6:$B$400,B65,$A$6:$A$400,EOMONTH(A65,-1))=0,"",IF(D65&lt;SUMIFS($D$6:$D$400,$B$6:$B$400,B65,$A$6:$A$400,EOMONTH(A65,-1)),"Dropped","")))</f>
        <v/>
      </c>
      <c r="S65" s="41" t="str">
        <f aca="false">IF(B65="","",B65&amp;"|"&amp;(YEAR(A65)*100+MONTH(A65)))</f>
        <v/>
      </c>
    </row>
    <row r="66" customFormat="false" ht="15" hidden="false" customHeight="false" outlineLevel="0" collapsed="false">
      <c r="A66" s="37"/>
      <c r="C66" s="0" t="str">
        <f aca="false">IF(B66="","",IFERROR(INDEX(Project_Register!$B$6:$B$40,MATCH(B66,Project_Register!$A$6:$A$40,0)),"Unknown ID"))</f>
        <v/>
      </c>
      <c r="D66" s="38"/>
      <c r="E66" s="24"/>
      <c r="F66" s="24"/>
      <c r="G66" s="39"/>
      <c r="J66" s="39"/>
      <c r="K66" s="38" t="str">
        <f aca="false">IF(OR(B66="",T66="On Hold"),"",MAX(0,MIN(1,(A66-INDEX(Project_Register!$G$6:$G$40,MATCH(B66,Project_Register!$A$6:$A$40,0)))/(INDEX(Project_Register!$H$6:$H$40,MATCH(B66,Project_Register!$A$6:$A$40,0))-INDEX(Project_Register!$G$6:$G$40,MATCH(B66,Project_Register!$A$6:$A$40,0))))))</f>
        <v/>
      </c>
      <c r="L66" s="40" t="str">
        <f aca="false">IF(OR(B66="",D66="",T66="On Hold"),"",ROUND((D66-K66)*100,0))</f>
        <v/>
      </c>
      <c r="M66" s="38" t="str">
        <f aca="false">IF(OR(B66="",F66=""),"",F66/INDEX(Project_Register!$I$6:$I$40,MATCH(B66,Project_Register!$A$6:$A$40,0)))</f>
        <v/>
      </c>
      <c r="N66" s="40" t="str">
        <f aca="false">IF(OR(B66="",G66="",T66="On Hold"),"",G66-INDEX(Project_Register!$H$6:$H$40,MATCH(B66,Project_Register!$A$6:$A$40,0)))</f>
        <v/>
      </c>
      <c r="O66" s="0" t="str">
        <f aca="false">IF(B66="","",IF(D66="","No update",IF(AND(T66&lt;&gt;"Active",D66&lt;1),T66,IF(D66&gt;=1,"Complete",IF(OR(L66&lt;=SV_Red,M66&gt;Cost_Red,N66&gt;Slip_Red),"Red",IF(OR(L66&lt;=SV_Amber,M66&gt;Cost_Amber,N66&gt;Slip_Amber),"Amber","Green"))))))</f>
        <v/>
      </c>
      <c r="P66" s="0" t="str">
        <f aca="false">IF(AND(H66="Green",OR(O66="Amber",O66="Red")),"Watermelon","")</f>
        <v/>
      </c>
      <c r="Q66" s="0" t="str">
        <f aca="false">IF(B66="","",IF(J66="","Missing",IF(J66&gt;A66+UpdateDue,"Late","On time")))</f>
        <v/>
      </c>
      <c r="R66" s="0" t="str">
        <f aca="false">IF(OR(B66="",D66=""),"",IF(COUNTIFS($B$6:$B$400,B66,$A$6:$A$400,EOMONTH(A66,-1))=0,"",IF(D66&lt;SUMIFS($D$6:$D$400,$B$6:$B$400,B66,$A$6:$A$400,EOMONTH(A66,-1)),"Dropped","")))</f>
        <v/>
      </c>
      <c r="S66" s="41" t="str">
        <f aca="false">IF(B66="","",B66&amp;"|"&amp;(YEAR(A66)*100+MONTH(A66)))</f>
        <v/>
      </c>
    </row>
    <row r="67" customFormat="false" ht="15" hidden="false" customHeight="false" outlineLevel="0" collapsed="false">
      <c r="A67" s="37"/>
      <c r="C67" s="0" t="str">
        <f aca="false">IF(B67="","",IFERROR(INDEX(Project_Register!$B$6:$B$40,MATCH(B67,Project_Register!$A$6:$A$40,0)),"Unknown ID"))</f>
        <v/>
      </c>
      <c r="D67" s="38"/>
      <c r="E67" s="24"/>
      <c r="F67" s="24"/>
      <c r="G67" s="39"/>
      <c r="J67" s="39"/>
      <c r="K67" s="38" t="str">
        <f aca="false">IF(OR(B67="",T67="On Hold"),"",MAX(0,MIN(1,(A67-INDEX(Project_Register!$G$6:$G$40,MATCH(B67,Project_Register!$A$6:$A$40,0)))/(INDEX(Project_Register!$H$6:$H$40,MATCH(B67,Project_Register!$A$6:$A$40,0))-INDEX(Project_Register!$G$6:$G$40,MATCH(B67,Project_Register!$A$6:$A$40,0))))))</f>
        <v/>
      </c>
      <c r="L67" s="40" t="str">
        <f aca="false">IF(OR(B67="",D67="",T67="On Hold"),"",ROUND((D67-K67)*100,0))</f>
        <v/>
      </c>
      <c r="M67" s="38" t="str">
        <f aca="false">IF(OR(B67="",F67=""),"",F67/INDEX(Project_Register!$I$6:$I$40,MATCH(B67,Project_Register!$A$6:$A$40,0)))</f>
        <v/>
      </c>
      <c r="N67" s="40" t="str">
        <f aca="false">IF(OR(B67="",G67="",T67="On Hold"),"",G67-INDEX(Project_Register!$H$6:$H$40,MATCH(B67,Project_Register!$A$6:$A$40,0)))</f>
        <v/>
      </c>
      <c r="O67" s="0" t="str">
        <f aca="false">IF(B67="","",IF(D67="","No update",IF(AND(T67&lt;&gt;"Active",D67&lt;1),T67,IF(D67&gt;=1,"Complete",IF(OR(L67&lt;=SV_Red,M67&gt;Cost_Red,N67&gt;Slip_Red),"Red",IF(OR(L67&lt;=SV_Amber,M67&gt;Cost_Amber,N67&gt;Slip_Amber),"Amber","Green"))))))</f>
        <v/>
      </c>
      <c r="P67" s="0" t="str">
        <f aca="false">IF(AND(H67="Green",OR(O67="Amber",O67="Red")),"Watermelon","")</f>
        <v/>
      </c>
      <c r="Q67" s="0" t="str">
        <f aca="false">IF(B67="","",IF(J67="","Missing",IF(J67&gt;A67+UpdateDue,"Late","On time")))</f>
        <v/>
      </c>
      <c r="R67" s="0" t="str">
        <f aca="false">IF(OR(B67="",D67=""),"",IF(COUNTIFS($B$6:$B$400,B67,$A$6:$A$400,EOMONTH(A67,-1))=0,"",IF(D67&lt;SUMIFS($D$6:$D$400,$B$6:$B$400,B67,$A$6:$A$400,EOMONTH(A67,-1)),"Dropped","")))</f>
        <v/>
      </c>
      <c r="S67" s="41" t="str">
        <f aca="false">IF(B67="","",B67&amp;"|"&amp;(YEAR(A67)*100+MONTH(A67)))</f>
        <v/>
      </c>
    </row>
    <row r="68" customFormat="false" ht="15" hidden="false" customHeight="false" outlineLevel="0" collapsed="false">
      <c r="A68" s="37"/>
      <c r="C68" s="0" t="str">
        <f aca="false">IF(B68="","",IFERROR(INDEX(Project_Register!$B$6:$B$40,MATCH(B68,Project_Register!$A$6:$A$40,0)),"Unknown ID"))</f>
        <v/>
      </c>
      <c r="D68" s="38"/>
      <c r="E68" s="24"/>
      <c r="F68" s="24"/>
      <c r="G68" s="39"/>
      <c r="J68" s="39"/>
      <c r="K68" s="38" t="str">
        <f aca="false">IF(OR(B68="",T68="On Hold"),"",MAX(0,MIN(1,(A68-INDEX(Project_Register!$G$6:$G$40,MATCH(B68,Project_Register!$A$6:$A$40,0)))/(INDEX(Project_Register!$H$6:$H$40,MATCH(B68,Project_Register!$A$6:$A$40,0))-INDEX(Project_Register!$G$6:$G$40,MATCH(B68,Project_Register!$A$6:$A$40,0))))))</f>
        <v/>
      </c>
      <c r="L68" s="40" t="str">
        <f aca="false">IF(OR(B68="",D68="",T68="On Hold"),"",ROUND((D68-K68)*100,0))</f>
        <v/>
      </c>
      <c r="M68" s="38" t="str">
        <f aca="false">IF(OR(B68="",F68=""),"",F68/INDEX(Project_Register!$I$6:$I$40,MATCH(B68,Project_Register!$A$6:$A$40,0)))</f>
        <v/>
      </c>
      <c r="N68" s="40" t="str">
        <f aca="false">IF(OR(B68="",G68="",T68="On Hold"),"",G68-INDEX(Project_Register!$H$6:$H$40,MATCH(B68,Project_Register!$A$6:$A$40,0)))</f>
        <v/>
      </c>
      <c r="O68" s="0" t="str">
        <f aca="false">IF(B68="","",IF(D68="","No update",IF(AND(T68&lt;&gt;"Active",D68&lt;1),T68,IF(D68&gt;=1,"Complete",IF(OR(L68&lt;=SV_Red,M68&gt;Cost_Red,N68&gt;Slip_Red),"Red",IF(OR(L68&lt;=SV_Amber,M68&gt;Cost_Amber,N68&gt;Slip_Amber),"Amber","Green"))))))</f>
        <v/>
      </c>
      <c r="P68" s="0" t="str">
        <f aca="false">IF(AND(H68="Green",OR(O68="Amber",O68="Red")),"Watermelon","")</f>
        <v/>
      </c>
      <c r="Q68" s="0" t="str">
        <f aca="false">IF(B68="","",IF(J68="","Missing",IF(J68&gt;A68+UpdateDue,"Late","On time")))</f>
        <v/>
      </c>
      <c r="R68" s="0" t="str">
        <f aca="false">IF(OR(B68="",D68=""),"",IF(COUNTIFS($B$6:$B$400,B68,$A$6:$A$400,EOMONTH(A68,-1))=0,"",IF(D68&lt;SUMIFS($D$6:$D$400,$B$6:$B$400,B68,$A$6:$A$400,EOMONTH(A68,-1)),"Dropped","")))</f>
        <v/>
      </c>
      <c r="S68" s="41" t="str">
        <f aca="false">IF(B68="","",B68&amp;"|"&amp;(YEAR(A68)*100+MONTH(A68)))</f>
        <v/>
      </c>
    </row>
    <row r="69" customFormat="false" ht="15" hidden="false" customHeight="false" outlineLevel="0" collapsed="false">
      <c r="A69" s="37"/>
      <c r="C69" s="0" t="str">
        <f aca="false">IF(B69="","",IFERROR(INDEX(Project_Register!$B$6:$B$40,MATCH(B69,Project_Register!$A$6:$A$40,0)),"Unknown ID"))</f>
        <v/>
      </c>
      <c r="D69" s="38"/>
      <c r="E69" s="24"/>
      <c r="F69" s="24"/>
      <c r="G69" s="39"/>
      <c r="J69" s="39"/>
      <c r="K69" s="38" t="str">
        <f aca="false">IF(OR(B69="",T69="On Hold"),"",MAX(0,MIN(1,(A69-INDEX(Project_Register!$G$6:$G$40,MATCH(B69,Project_Register!$A$6:$A$40,0)))/(INDEX(Project_Register!$H$6:$H$40,MATCH(B69,Project_Register!$A$6:$A$40,0))-INDEX(Project_Register!$G$6:$G$40,MATCH(B69,Project_Register!$A$6:$A$40,0))))))</f>
        <v/>
      </c>
      <c r="L69" s="40" t="str">
        <f aca="false">IF(OR(B69="",D69="",T69="On Hold"),"",ROUND((D69-K69)*100,0))</f>
        <v/>
      </c>
      <c r="M69" s="38" t="str">
        <f aca="false">IF(OR(B69="",F69=""),"",F69/INDEX(Project_Register!$I$6:$I$40,MATCH(B69,Project_Register!$A$6:$A$40,0)))</f>
        <v/>
      </c>
      <c r="N69" s="40" t="str">
        <f aca="false">IF(OR(B69="",G69="",T69="On Hold"),"",G69-INDEX(Project_Register!$H$6:$H$40,MATCH(B69,Project_Register!$A$6:$A$40,0)))</f>
        <v/>
      </c>
      <c r="O69" s="0" t="str">
        <f aca="false">IF(B69="","",IF(D69="","No update",IF(AND(T69&lt;&gt;"Active",D69&lt;1),T69,IF(D69&gt;=1,"Complete",IF(OR(L69&lt;=SV_Red,M69&gt;Cost_Red,N69&gt;Slip_Red),"Red",IF(OR(L69&lt;=SV_Amber,M69&gt;Cost_Amber,N69&gt;Slip_Amber),"Amber","Green"))))))</f>
        <v/>
      </c>
      <c r="P69" s="0" t="str">
        <f aca="false">IF(AND(H69="Green",OR(O69="Amber",O69="Red")),"Watermelon","")</f>
        <v/>
      </c>
      <c r="Q69" s="0" t="str">
        <f aca="false">IF(B69="","",IF(J69="","Missing",IF(J69&gt;A69+UpdateDue,"Late","On time")))</f>
        <v/>
      </c>
      <c r="R69" s="0" t="str">
        <f aca="false">IF(OR(B69="",D69=""),"",IF(COUNTIFS($B$6:$B$400,B69,$A$6:$A$400,EOMONTH(A69,-1))=0,"",IF(D69&lt;SUMIFS($D$6:$D$400,$B$6:$B$400,B69,$A$6:$A$400,EOMONTH(A69,-1)),"Dropped","")))</f>
        <v/>
      </c>
      <c r="S69" s="41" t="str">
        <f aca="false">IF(B69="","",B69&amp;"|"&amp;(YEAR(A69)*100+MONTH(A69)))</f>
        <v/>
      </c>
    </row>
    <row r="70" customFormat="false" ht="15" hidden="false" customHeight="false" outlineLevel="0" collapsed="false">
      <c r="A70" s="37"/>
      <c r="C70" s="0" t="str">
        <f aca="false">IF(B70="","",IFERROR(INDEX(Project_Register!$B$6:$B$40,MATCH(B70,Project_Register!$A$6:$A$40,0)),"Unknown ID"))</f>
        <v/>
      </c>
      <c r="D70" s="38"/>
      <c r="E70" s="24"/>
      <c r="F70" s="24"/>
      <c r="G70" s="39"/>
      <c r="J70" s="39"/>
      <c r="K70" s="38" t="str">
        <f aca="false">IF(OR(B70="",T70="On Hold"),"",MAX(0,MIN(1,(A70-INDEX(Project_Register!$G$6:$G$40,MATCH(B70,Project_Register!$A$6:$A$40,0)))/(INDEX(Project_Register!$H$6:$H$40,MATCH(B70,Project_Register!$A$6:$A$40,0))-INDEX(Project_Register!$G$6:$G$40,MATCH(B70,Project_Register!$A$6:$A$40,0))))))</f>
        <v/>
      </c>
      <c r="L70" s="40" t="str">
        <f aca="false">IF(OR(B70="",D70="",T70="On Hold"),"",ROUND((D70-K70)*100,0))</f>
        <v/>
      </c>
      <c r="M70" s="38" t="str">
        <f aca="false">IF(OR(B70="",F70=""),"",F70/INDEX(Project_Register!$I$6:$I$40,MATCH(B70,Project_Register!$A$6:$A$40,0)))</f>
        <v/>
      </c>
      <c r="N70" s="40" t="str">
        <f aca="false">IF(OR(B70="",G70="",T70="On Hold"),"",G70-INDEX(Project_Register!$H$6:$H$40,MATCH(B70,Project_Register!$A$6:$A$40,0)))</f>
        <v/>
      </c>
      <c r="O70" s="0" t="str">
        <f aca="false">IF(B70="","",IF(D70="","No update",IF(AND(T70&lt;&gt;"Active",D70&lt;1),T70,IF(D70&gt;=1,"Complete",IF(OR(L70&lt;=SV_Red,M70&gt;Cost_Red,N70&gt;Slip_Red),"Red",IF(OR(L70&lt;=SV_Amber,M70&gt;Cost_Amber,N70&gt;Slip_Amber),"Amber","Green"))))))</f>
        <v/>
      </c>
      <c r="P70" s="0" t="str">
        <f aca="false">IF(AND(H70="Green",OR(O70="Amber",O70="Red")),"Watermelon","")</f>
        <v/>
      </c>
      <c r="Q70" s="0" t="str">
        <f aca="false">IF(B70="","",IF(J70="","Missing",IF(J70&gt;A70+UpdateDue,"Late","On time")))</f>
        <v/>
      </c>
      <c r="R70" s="0" t="str">
        <f aca="false">IF(OR(B70="",D70=""),"",IF(COUNTIFS($B$6:$B$400,B70,$A$6:$A$400,EOMONTH(A70,-1))=0,"",IF(D70&lt;SUMIFS($D$6:$D$400,$B$6:$B$400,B70,$A$6:$A$400,EOMONTH(A70,-1)),"Dropped","")))</f>
        <v/>
      </c>
      <c r="S70" s="41" t="str">
        <f aca="false">IF(B70="","",B70&amp;"|"&amp;(YEAR(A70)*100+MONTH(A70)))</f>
        <v/>
      </c>
    </row>
    <row r="71" customFormat="false" ht="15" hidden="false" customHeight="false" outlineLevel="0" collapsed="false">
      <c r="A71" s="37"/>
      <c r="C71" s="0" t="str">
        <f aca="false">IF(B71="","",IFERROR(INDEX(Project_Register!$B$6:$B$40,MATCH(B71,Project_Register!$A$6:$A$40,0)),"Unknown ID"))</f>
        <v/>
      </c>
      <c r="D71" s="38"/>
      <c r="E71" s="24"/>
      <c r="F71" s="24"/>
      <c r="G71" s="39"/>
      <c r="J71" s="39"/>
      <c r="K71" s="38" t="str">
        <f aca="false">IF(OR(B71="",T71="On Hold"),"",MAX(0,MIN(1,(A71-INDEX(Project_Register!$G$6:$G$40,MATCH(B71,Project_Register!$A$6:$A$40,0)))/(INDEX(Project_Register!$H$6:$H$40,MATCH(B71,Project_Register!$A$6:$A$40,0))-INDEX(Project_Register!$G$6:$G$40,MATCH(B71,Project_Register!$A$6:$A$40,0))))))</f>
        <v/>
      </c>
      <c r="L71" s="40" t="str">
        <f aca="false">IF(OR(B71="",D71="",T71="On Hold"),"",ROUND((D71-K71)*100,0))</f>
        <v/>
      </c>
      <c r="M71" s="38" t="str">
        <f aca="false">IF(OR(B71="",F71=""),"",F71/INDEX(Project_Register!$I$6:$I$40,MATCH(B71,Project_Register!$A$6:$A$40,0)))</f>
        <v/>
      </c>
      <c r="N71" s="40" t="str">
        <f aca="false">IF(OR(B71="",G71="",T71="On Hold"),"",G71-INDEX(Project_Register!$H$6:$H$40,MATCH(B71,Project_Register!$A$6:$A$40,0)))</f>
        <v/>
      </c>
      <c r="O71" s="0" t="str">
        <f aca="false">IF(B71="","",IF(D71="","No update",IF(AND(T71&lt;&gt;"Active",D71&lt;1),T71,IF(D71&gt;=1,"Complete",IF(OR(L71&lt;=SV_Red,M71&gt;Cost_Red,N71&gt;Slip_Red),"Red",IF(OR(L71&lt;=SV_Amber,M71&gt;Cost_Amber,N71&gt;Slip_Amber),"Amber","Green"))))))</f>
        <v/>
      </c>
      <c r="P71" s="0" t="str">
        <f aca="false">IF(AND(H71="Green",OR(O71="Amber",O71="Red")),"Watermelon","")</f>
        <v/>
      </c>
      <c r="Q71" s="0" t="str">
        <f aca="false">IF(B71="","",IF(J71="","Missing",IF(J71&gt;A71+UpdateDue,"Late","On time")))</f>
        <v/>
      </c>
      <c r="R71" s="0" t="str">
        <f aca="false">IF(OR(B71="",D71=""),"",IF(COUNTIFS($B$6:$B$400,B71,$A$6:$A$400,EOMONTH(A71,-1))=0,"",IF(D71&lt;SUMIFS($D$6:$D$400,$B$6:$B$400,B71,$A$6:$A$400,EOMONTH(A71,-1)),"Dropped","")))</f>
        <v/>
      </c>
      <c r="S71" s="41" t="str">
        <f aca="false">IF(B71="","",B71&amp;"|"&amp;(YEAR(A71)*100+MONTH(A71)))</f>
        <v/>
      </c>
    </row>
    <row r="72" customFormat="false" ht="15" hidden="false" customHeight="false" outlineLevel="0" collapsed="false">
      <c r="A72" s="37"/>
      <c r="C72" s="0" t="str">
        <f aca="false">IF(B72="","",IFERROR(INDEX(Project_Register!$B$6:$B$40,MATCH(B72,Project_Register!$A$6:$A$40,0)),"Unknown ID"))</f>
        <v/>
      </c>
      <c r="D72" s="38"/>
      <c r="E72" s="24"/>
      <c r="F72" s="24"/>
      <c r="G72" s="39"/>
      <c r="J72" s="39"/>
      <c r="K72" s="38" t="str">
        <f aca="false">IF(OR(B72="",T72="On Hold"),"",MAX(0,MIN(1,(A72-INDEX(Project_Register!$G$6:$G$40,MATCH(B72,Project_Register!$A$6:$A$40,0)))/(INDEX(Project_Register!$H$6:$H$40,MATCH(B72,Project_Register!$A$6:$A$40,0))-INDEX(Project_Register!$G$6:$G$40,MATCH(B72,Project_Register!$A$6:$A$40,0))))))</f>
        <v/>
      </c>
      <c r="L72" s="40" t="str">
        <f aca="false">IF(OR(B72="",D72="",T72="On Hold"),"",ROUND((D72-K72)*100,0))</f>
        <v/>
      </c>
      <c r="M72" s="38" t="str">
        <f aca="false">IF(OR(B72="",F72=""),"",F72/INDEX(Project_Register!$I$6:$I$40,MATCH(B72,Project_Register!$A$6:$A$40,0)))</f>
        <v/>
      </c>
      <c r="N72" s="40" t="str">
        <f aca="false">IF(OR(B72="",G72="",T72="On Hold"),"",G72-INDEX(Project_Register!$H$6:$H$40,MATCH(B72,Project_Register!$A$6:$A$40,0)))</f>
        <v/>
      </c>
      <c r="O72" s="0" t="str">
        <f aca="false">IF(B72="","",IF(D72="","No update",IF(AND(T72&lt;&gt;"Active",D72&lt;1),T72,IF(D72&gt;=1,"Complete",IF(OR(L72&lt;=SV_Red,M72&gt;Cost_Red,N72&gt;Slip_Red),"Red",IF(OR(L72&lt;=SV_Amber,M72&gt;Cost_Amber,N72&gt;Slip_Amber),"Amber","Green"))))))</f>
        <v/>
      </c>
      <c r="P72" s="0" t="str">
        <f aca="false">IF(AND(H72="Green",OR(O72="Amber",O72="Red")),"Watermelon","")</f>
        <v/>
      </c>
      <c r="Q72" s="0" t="str">
        <f aca="false">IF(B72="","",IF(J72="","Missing",IF(J72&gt;A72+UpdateDue,"Late","On time")))</f>
        <v/>
      </c>
      <c r="R72" s="0" t="str">
        <f aca="false">IF(OR(B72="",D72=""),"",IF(COUNTIFS($B$6:$B$400,B72,$A$6:$A$400,EOMONTH(A72,-1))=0,"",IF(D72&lt;SUMIFS($D$6:$D$400,$B$6:$B$400,B72,$A$6:$A$400,EOMONTH(A72,-1)),"Dropped","")))</f>
        <v/>
      </c>
      <c r="S72" s="41" t="str">
        <f aca="false">IF(B72="","",B72&amp;"|"&amp;(YEAR(A72)*100+MONTH(A72)))</f>
        <v/>
      </c>
    </row>
    <row r="73" customFormat="false" ht="15" hidden="false" customHeight="false" outlineLevel="0" collapsed="false">
      <c r="A73" s="37"/>
      <c r="C73" s="0" t="str">
        <f aca="false">IF(B73="","",IFERROR(INDEX(Project_Register!$B$6:$B$40,MATCH(B73,Project_Register!$A$6:$A$40,0)),"Unknown ID"))</f>
        <v/>
      </c>
      <c r="D73" s="38"/>
      <c r="E73" s="24"/>
      <c r="F73" s="24"/>
      <c r="G73" s="39"/>
      <c r="J73" s="39"/>
      <c r="K73" s="38" t="str">
        <f aca="false">IF(OR(B73="",T73="On Hold"),"",MAX(0,MIN(1,(A73-INDEX(Project_Register!$G$6:$G$40,MATCH(B73,Project_Register!$A$6:$A$40,0)))/(INDEX(Project_Register!$H$6:$H$40,MATCH(B73,Project_Register!$A$6:$A$40,0))-INDEX(Project_Register!$G$6:$G$40,MATCH(B73,Project_Register!$A$6:$A$40,0))))))</f>
        <v/>
      </c>
      <c r="L73" s="40" t="str">
        <f aca="false">IF(OR(B73="",D73="",T73="On Hold"),"",ROUND((D73-K73)*100,0))</f>
        <v/>
      </c>
      <c r="M73" s="38" t="str">
        <f aca="false">IF(OR(B73="",F73=""),"",F73/INDEX(Project_Register!$I$6:$I$40,MATCH(B73,Project_Register!$A$6:$A$40,0)))</f>
        <v/>
      </c>
      <c r="N73" s="40" t="str">
        <f aca="false">IF(OR(B73="",G73="",T73="On Hold"),"",G73-INDEX(Project_Register!$H$6:$H$40,MATCH(B73,Project_Register!$A$6:$A$40,0)))</f>
        <v/>
      </c>
      <c r="O73" s="0" t="str">
        <f aca="false">IF(B73="","",IF(D73="","No update",IF(AND(T73&lt;&gt;"Active",D73&lt;1),T73,IF(D73&gt;=1,"Complete",IF(OR(L73&lt;=SV_Red,M73&gt;Cost_Red,N73&gt;Slip_Red),"Red",IF(OR(L73&lt;=SV_Amber,M73&gt;Cost_Amber,N73&gt;Slip_Amber),"Amber","Green"))))))</f>
        <v/>
      </c>
      <c r="P73" s="0" t="str">
        <f aca="false">IF(AND(H73="Green",OR(O73="Amber",O73="Red")),"Watermelon","")</f>
        <v/>
      </c>
      <c r="Q73" s="0" t="str">
        <f aca="false">IF(B73="","",IF(J73="","Missing",IF(J73&gt;A73+UpdateDue,"Late","On time")))</f>
        <v/>
      </c>
      <c r="R73" s="0" t="str">
        <f aca="false">IF(OR(B73="",D73=""),"",IF(COUNTIFS($B$6:$B$400,B73,$A$6:$A$400,EOMONTH(A73,-1))=0,"",IF(D73&lt;SUMIFS($D$6:$D$400,$B$6:$B$400,B73,$A$6:$A$400,EOMONTH(A73,-1)),"Dropped","")))</f>
        <v/>
      </c>
      <c r="S73" s="41" t="str">
        <f aca="false">IF(B73="","",B73&amp;"|"&amp;(YEAR(A73)*100+MONTH(A73)))</f>
        <v/>
      </c>
    </row>
    <row r="74" customFormat="false" ht="15" hidden="false" customHeight="false" outlineLevel="0" collapsed="false">
      <c r="A74" s="37"/>
      <c r="C74" s="0" t="str">
        <f aca="false">IF(B74="","",IFERROR(INDEX(Project_Register!$B$6:$B$40,MATCH(B74,Project_Register!$A$6:$A$40,0)),"Unknown ID"))</f>
        <v/>
      </c>
      <c r="D74" s="38"/>
      <c r="E74" s="24"/>
      <c r="F74" s="24"/>
      <c r="G74" s="39"/>
      <c r="J74" s="39"/>
      <c r="K74" s="38" t="str">
        <f aca="false">IF(OR(B74="",T74="On Hold"),"",MAX(0,MIN(1,(A74-INDEX(Project_Register!$G$6:$G$40,MATCH(B74,Project_Register!$A$6:$A$40,0)))/(INDEX(Project_Register!$H$6:$H$40,MATCH(B74,Project_Register!$A$6:$A$40,0))-INDEX(Project_Register!$G$6:$G$40,MATCH(B74,Project_Register!$A$6:$A$40,0))))))</f>
        <v/>
      </c>
      <c r="L74" s="40" t="str">
        <f aca="false">IF(OR(B74="",D74="",T74="On Hold"),"",ROUND((D74-K74)*100,0))</f>
        <v/>
      </c>
      <c r="M74" s="38" t="str">
        <f aca="false">IF(OR(B74="",F74=""),"",F74/INDEX(Project_Register!$I$6:$I$40,MATCH(B74,Project_Register!$A$6:$A$40,0)))</f>
        <v/>
      </c>
      <c r="N74" s="40" t="str">
        <f aca="false">IF(OR(B74="",G74="",T74="On Hold"),"",G74-INDEX(Project_Register!$H$6:$H$40,MATCH(B74,Project_Register!$A$6:$A$40,0)))</f>
        <v/>
      </c>
      <c r="O74" s="0" t="str">
        <f aca="false">IF(B74="","",IF(D74="","No update",IF(AND(T74&lt;&gt;"Active",D74&lt;1),T74,IF(D74&gt;=1,"Complete",IF(OR(L74&lt;=SV_Red,M74&gt;Cost_Red,N74&gt;Slip_Red),"Red",IF(OR(L74&lt;=SV_Amber,M74&gt;Cost_Amber,N74&gt;Slip_Amber),"Amber","Green"))))))</f>
        <v/>
      </c>
      <c r="P74" s="0" t="str">
        <f aca="false">IF(AND(H74="Green",OR(O74="Amber",O74="Red")),"Watermelon","")</f>
        <v/>
      </c>
      <c r="Q74" s="0" t="str">
        <f aca="false">IF(B74="","",IF(J74="","Missing",IF(J74&gt;A74+UpdateDue,"Late","On time")))</f>
        <v/>
      </c>
      <c r="R74" s="0" t="str">
        <f aca="false">IF(OR(B74="",D74=""),"",IF(COUNTIFS($B$6:$B$400,B74,$A$6:$A$400,EOMONTH(A74,-1))=0,"",IF(D74&lt;SUMIFS($D$6:$D$400,$B$6:$B$400,B74,$A$6:$A$400,EOMONTH(A74,-1)),"Dropped","")))</f>
        <v/>
      </c>
      <c r="S74" s="41" t="str">
        <f aca="false">IF(B74="","",B74&amp;"|"&amp;(YEAR(A74)*100+MONTH(A74)))</f>
        <v/>
      </c>
    </row>
    <row r="75" customFormat="false" ht="15" hidden="false" customHeight="false" outlineLevel="0" collapsed="false">
      <c r="A75" s="37"/>
      <c r="C75" s="0" t="str">
        <f aca="false">IF(B75="","",IFERROR(INDEX(Project_Register!$B$6:$B$40,MATCH(B75,Project_Register!$A$6:$A$40,0)),"Unknown ID"))</f>
        <v/>
      </c>
      <c r="D75" s="38"/>
      <c r="E75" s="24"/>
      <c r="F75" s="24"/>
      <c r="G75" s="39"/>
      <c r="J75" s="39"/>
      <c r="K75" s="38" t="str">
        <f aca="false">IF(OR(B75="",T75="On Hold"),"",MAX(0,MIN(1,(A75-INDEX(Project_Register!$G$6:$G$40,MATCH(B75,Project_Register!$A$6:$A$40,0)))/(INDEX(Project_Register!$H$6:$H$40,MATCH(B75,Project_Register!$A$6:$A$40,0))-INDEX(Project_Register!$G$6:$G$40,MATCH(B75,Project_Register!$A$6:$A$40,0))))))</f>
        <v/>
      </c>
      <c r="L75" s="40" t="str">
        <f aca="false">IF(OR(B75="",D75="",T75="On Hold"),"",ROUND((D75-K75)*100,0))</f>
        <v/>
      </c>
      <c r="M75" s="38" t="str">
        <f aca="false">IF(OR(B75="",F75=""),"",F75/INDEX(Project_Register!$I$6:$I$40,MATCH(B75,Project_Register!$A$6:$A$40,0)))</f>
        <v/>
      </c>
      <c r="N75" s="40" t="str">
        <f aca="false">IF(OR(B75="",G75="",T75="On Hold"),"",G75-INDEX(Project_Register!$H$6:$H$40,MATCH(B75,Project_Register!$A$6:$A$40,0)))</f>
        <v/>
      </c>
      <c r="O75" s="0" t="str">
        <f aca="false">IF(B75="","",IF(D75="","No update",IF(AND(T75&lt;&gt;"Active",D75&lt;1),T75,IF(D75&gt;=1,"Complete",IF(OR(L75&lt;=SV_Red,M75&gt;Cost_Red,N75&gt;Slip_Red),"Red",IF(OR(L75&lt;=SV_Amber,M75&gt;Cost_Amber,N75&gt;Slip_Amber),"Amber","Green"))))))</f>
        <v/>
      </c>
      <c r="P75" s="0" t="str">
        <f aca="false">IF(AND(H75="Green",OR(O75="Amber",O75="Red")),"Watermelon","")</f>
        <v/>
      </c>
      <c r="Q75" s="0" t="str">
        <f aca="false">IF(B75="","",IF(J75="","Missing",IF(J75&gt;A75+UpdateDue,"Late","On time")))</f>
        <v/>
      </c>
      <c r="R75" s="0" t="str">
        <f aca="false">IF(OR(B75="",D75=""),"",IF(COUNTIFS($B$6:$B$400,B75,$A$6:$A$400,EOMONTH(A75,-1))=0,"",IF(D75&lt;SUMIFS($D$6:$D$400,$B$6:$B$400,B75,$A$6:$A$400,EOMONTH(A75,-1)),"Dropped","")))</f>
        <v/>
      </c>
      <c r="S75" s="41" t="str">
        <f aca="false">IF(B75="","",B75&amp;"|"&amp;(YEAR(A75)*100+MONTH(A75)))</f>
        <v/>
      </c>
    </row>
    <row r="76" customFormat="false" ht="15" hidden="false" customHeight="false" outlineLevel="0" collapsed="false">
      <c r="A76" s="37"/>
      <c r="C76" s="0" t="str">
        <f aca="false">IF(B76="","",IFERROR(INDEX(Project_Register!$B$6:$B$40,MATCH(B76,Project_Register!$A$6:$A$40,0)),"Unknown ID"))</f>
        <v/>
      </c>
      <c r="D76" s="38"/>
      <c r="E76" s="24"/>
      <c r="F76" s="24"/>
      <c r="G76" s="39"/>
      <c r="J76" s="39"/>
      <c r="K76" s="38" t="str">
        <f aca="false">IF(OR(B76="",T76="On Hold"),"",MAX(0,MIN(1,(A76-INDEX(Project_Register!$G$6:$G$40,MATCH(B76,Project_Register!$A$6:$A$40,0)))/(INDEX(Project_Register!$H$6:$H$40,MATCH(B76,Project_Register!$A$6:$A$40,0))-INDEX(Project_Register!$G$6:$G$40,MATCH(B76,Project_Register!$A$6:$A$40,0))))))</f>
        <v/>
      </c>
      <c r="L76" s="40" t="str">
        <f aca="false">IF(OR(B76="",D76="",T76="On Hold"),"",ROUND((D76-K76)*100,0))</f>
        <v/>
      </c>
      <c r="M76" s="38" t="str">
        <f aca="false">IF(OR(B76="",F76=""),"",F76/INDEX(Project_Register!$I$6:$I$40,MATCH(B76,Project_Register!$A$6:$A$40,0)))</f>
        <v/>
      </c>
      <c r="N76" s="40" t="str">
        <f aca="false">IF(OR(B76="",G76="",T76="On Hold"),"",G76-INDEX(Project_Register!$H$6:$H$40,MATCH(B76,Project_Register!$A$6:$A$40,0)))</f>
        <v/>
      </c>
      <c r="O76" s="0" t="str">
        <f aca="false">IF(B76="","",IF(D76="","No update",IF(AND(T76&lt;&gt;"Active",D76&lt;1),T76,IF(D76&gt;=1,"Complete",IF(OR(L76&lt;=SV_Red,M76&gt;Cost_Red,N76&gt;Slip_Red),"Red",IF(OR(L76&lt;=SV_Amber,M76&gt;Cost_Amber,N76&gt;Slip_Amber),"Amber","Green"))))))</f>
        <v/>
      </c>
      <c r="P76" s="0" t="str">
        <f aca="false">IF(AND(H76="Green",OR(O76="Amber",O76="Red")),"Watermelon","")</f>
        <v/>
      </c>
      <c r="Q76" s="0" t="str">
        <f aca="false">IF(B76="","",IF(J76="","Missing",IF(J76&gt;A76+UpdateDue,"Late","On time")))</f>
        <v/>
      </c>
      <c r="R76" s="0" t="str">
        <f aca="false">IF(OR(B76="",D76=""),"",IF(COUNTIFS($B$6:$B$400,B76,$A$6:$A$400,EOMONTH(A76,-1))=0,"",IF(D76&lt;SUMIFS($D$6:$D$400,$B$6:$B$400,B76,$A$6:$A$400,EOMONTH(A76,-1)),"Dropped","")))</f>
        <v/>
      </c>
      <c r="S76" s="41" t="str">
        <f aca="false">IF(B76="","",B76&amp;"|"&amp;(YEAR(A76)*100+MONTH(A76)))</f>
        <v/>
      </c>
    </row>
    <row r="77" customFormat="false" ht="15" hidden="false" customHeight="false" outlineLevel="0" collapsed="false">
      <c r="A77" s="37"/>
      <c r="C77" s="0" t="str">
        <f aca="false">IF(B77="","",IFERROR(INDEX(Project_Register!$B$6:$B$40,MATCH(B77,Project_Register!$A$6:$A$40,0)),"Unknown ID"))</f>
        <v/>
      </c>
      <c r="D77" s="38"/>
      <c r="E77" s="24"/>
      <c r="F77" s="24"/>
      <c r="G77" s="39"/>
      <c r="J77" s="39"/>
      <c r="K77" s="38" t="str">
        <f aca="false">IF(OR(B77="",T77="On Hold"),"",MAX(0,MIN(1,(A77-INDEX(Project_Register!$G$6:$G$40,MATCH(B77,Project_Register!$A$6:$A$40,0)))/(INDEX(Project_Register!$H$6:$H$40,MATCH(B77,Project_Register!$A$6:$A$40,0))-INDEX(Project_Register!$G$6:$G$40,MATCH(B77,Project_Register!$A$6:$A$40,0))))))</f>
        <v/>
      </c>
      <c r="L77" s="40" t="str">
        <f aca="false">IF(OR(B77="",D77="",T77="On Hold"),"",ROUND((D77-K77)*100,0))</f>
        <v/>
      </c>
      <c r="M77" s="38" t="str">
        <f aca="false">IF(OR(B77="",F77=""),"",F77/INDEX(Project_Register!$I$6:$I$40,MATCH(B77,Project_Register!$A$6:$A$40,0)))</f>
        <v/>
      </c>
      <c r="N77" s="40" t="str">
        <f aca="false">IF(OR(B77="",G77="",T77="On Hold"),"",G77-INDEX(Project_Register!$H$6:$H$40,MATCH(B77,Project_Register!$A$6:$A$40,0)))</f>
        <v/>
      </c>
      <c r="O77" s="0" t="str">
        <f aca="false">IF(B77="","",IF(D77="","No update",IF(AND(T77&lt;&gt;"Active",D77&lt;1),T77,IF(D77&gt;=1,"Complete",IF(OR(L77&lt;=SV_Red,M77&gt;Cost_Red,N77&gt;Slip_Red),"Red",IF(OR(L77&lt;=SV_Amber,M77&gt;Cost_Amber,N77&gt;Slip_Amber),"Amber","Green"))))))</f>
        <v/>
      </c>
      <c r="P77" s="0" t="str">
        <f aca="false">IF(AND(H77="Green",OR(O77="Amber",O77="Red")),"Watermelon","")</f>
        <v/>
      </c>
      <c r="Q77" s="0" t="str">
        <f aca="false">IF(B77="","",IF(J77="","Missing",IF(J77&gt;A77+UpdateDue,"Late","On time")))</f>
        <v/>
      </c>
      <c r="R77" s="0" t="str">
        <f aca="false">IF(OR(B77="",D77=""),"",IF(COUNTIFS($B$6:$B$400,B77,$A$6:$A$400,EOMONTH(A77,-1))=0,"",IF(D77&lt;SUMIFS($D$6:$D$400,$B$6:$B$400,B77,$A$6:$A$400,EOMONTH(A77,-1)),"Dropped","")))</f>
        <v/>
      </c>
      <c r="S77" s="41" t="str">
        <f aca="false">IF(B77="","",B77&amp;"|"&amp;(YEAR(A77)*100+MONTH(A77)))</f>
        <v/>
      </c>
    </row>
    <row r="78" customFormat="false" ht="15" hidden="false" customHeight="false" outlineLevel="0" collapsed="false">
      <c r="A78" s="37"/>
      <c r="C78" s="0" t="str">
        <f aca="false">IF(B78="","",IFERROR(INDEX(Project_Register!$B$6:$B$40,MATCH(B78,Project_Register!$A$6:$A$40,0)),"Unknown ID"))</f>
        <v/>
      </c>
      <c r="D78" s="38"/>
      <c r="E78" s="24"/>
      <c r="F78" s="24"/>
      <c r="G78" s="39"/>
      <c r="J78" s="39"/>
      <c r="K78" s="38" t="str">
        <f aca="false">IF(OR(B78="",T78="On Hold"),"",MAX(0,MIN(1,(A78-INDEX(Project_Register!$G$6:$G$40,MATCH(B78,Project_Register!$A$6:$A$40,0)))/(INDEX(Project_Register!$H$6:$H$40,MATCH(B78,Project_Register!$A$6:$A$40,0))-INDEX(Project_Register!$G$6:$G$40,MATCH(B78,Project_Register!$A$6:$A$40,0))))))</f>
        <v/>
      </c>
      <c r="L78" s="40" t="str">
        <f aca="false">IF(OR(B78="",D78="",T78="On Hold"),"",ROUND((D78-K78)*100,0))</f>
        <v/>
      </c>
      <c r="M78" s="38" t="str">
        <f aca="false">IF(OR(B78="",F78=""),"",F78/INDEX(Project_Register!$I$6:$I$40,MATCH(B78,Project_Register!$A$6:$A$40,0)))</f>
        <v/>
      </c>
      <c r="N78" s="40" t="str">
        <f aca="false">IF(OR(B78="",G78="",T78="On Hold"),"",G78-INDEX(Project_Register!$H$6:$H$40,MATCH(B78,Project_Register!$A$6:$A$40,0)))</f>
        <v/>
      </c>
      <c r="O78" s="0" t="str">
        <f aca="false">IF(B78="","",IF(D78="","No update",IF(AND(T78&lt;&gt;"Active",D78&lt;1),T78,IF(D78&gt;=1,"Complete",IF(OR(L78&lt;=SV_Red,M78&gt;Cost_Red,N78&gt;Slip_Red),"Red",IF(OR(L78&lt;=SV_Amber,M78&gt;Cost_Amber,N78&gt;Slip_Amber),"Amber","Green"))))))</f>
        <v/>
      </c>
      <c r="P78" s="0" t="str">
        <f aca="false">IF(AND(H78="Green",OR(O78="Amber",O78="Red")),"Watermelon","")</f>
        <v/>
      </c>
      <c r="Q78" s="0" t="str">
        <f aca="false">IF(B78="","",IF(J78="","Missing",IF(J78&gt;A78+UpdateDue,"Late","On time")))</f>
        <v/>
      </c>
      <c r="R78" s="0" t="str">
        <f aca="false">IF(OR(B78="",D78=""),"",IF(COUNTIFS($B$6:$B$400,B78,$A$6:$A$400,EOMONTH(A78,-1))=0,"",IF(D78&lt;SUMIFS($D$6:$D$400,$B$6:$B$400,B78,$A$6:$A$400,EOMONTH(A78,-1)),"Dropped","")))</f>
        <v/>
      </c>
      <c r="S78" s="41" t="str">
        <f aca="false">IF(B78="","",B78&amp;"|"&amp;(YEAR(A78)*100+MONTH(A78)))</f>
        <v/>
      </c>
    </row>
    <row r="79" customFormat="false" ht="15" hidden="false" customHeight="false" outlineLevel="0" collapsed="false">
      <c r="A79" s="37"/>
      <c r="C79" s="0" t="str">
        <f aca="false">IF(B79="","",IFERROR(INDEX(Project_Register!$B$6:$B$40,MATCH(B79,Project_Register!$A$6:$A$40,0)),"Unknown ID"))</f>
        <v/>
      </c>
      <c r="D79" s="38"/>
      <c r="E79" s="24"/>
      <c r="F79" s="24"/>
      <c r="G79" s="39"/>
      <c r="J79" s="39"/>
      <c r="K79" s="38" t="str">
        <f aca="false">IF(OR(B79="",T79="On Hold"),"",MAX(0,MIN(1,(A79-INDEX(Project_Register!$G$6:$G$40,MATCH(B79,Project_Register!$A$6:$A$40,0)))/(INDEX(Project_Register!$H$6:$H$40,MATCH(B79,Project_Register!$A$6:$A$40,0))-INDEX(Project_Register!$G$6:$G$40,MATCH(B79,Project_Register!$A$6:$A$40,0))))))</f>
        <v/>
      </c>
      <c r="L79" s="40" t="str">
        <f aca="false">IF(OR(B79="",D79="",T79="On Hold"),"",ROUND((D79-K79)*100,0))</f>
        <v/>
      </c>
      <c r="M79" s="38" t="str">
        <f aca="false">IF(OR(B79="",F79=""),"",F79/INDEX(Project_Register!$I$6:$I$40,MATCH(B79,Project_Register!$A$6:$A$40,0)))</f>
        <v/>
      </c>
      <c r="N79" s="40" t="str">
        <f aca="false">IF(OR(B79="",G79="",T79="On Hold"),"",G79-INDEX(Project_Register!$H$6:$H$40,MATCH(B79,Project_Register!$A$6:$A$40,0)))</f>
        <v/>
      </c>
      <c r="O79" s="0" t="str">
        <f aca="false">IF(B79="","",IF(D79="","No update",IF(AND(T79&lt;&gt;"Active",D79&lt;1),T79,IF(D79&gt;=1,"Complete",IF(OR(L79&lt;=SV_Red,M79&gt;Cost_Red,N79&gt;Slip_Red),"Red",IF(OR(L79&lt;=SV_Amber,M79&gt;Cost_Amber,N79&gt;Slip_Amber),"Amber","Green"))))))</f>
        <v/>
      </c>
      <c r="P79" s="0" t="str">
        <f aca="false">IF(AND(H79="Green",OR(O79="Amber",O79="Red")),"Watermelon","")</f>
        <v/>
      </c>
      <c r="Q79" s="0" t="str">
        <f aca="false">IF(B79="","",IF(J79="","Missing",IF(J79&gt;A79+UpdateDue,"Late","On time")))</f>
        <v/>
      </c>
      <c r="R79" s="0" t="str">
        <f aca="false">IF(OR(B79="",D79=""),"",IF(COUNTIFS($B$6:$B$400,B79,$A$6:$A$400,EOMONTH(A79,-1))=0,"",IF(D79&lt;SUMIFS($D$6:$D$400,$B$6:$B$400,B79,$A$6:$A$400,EOMONTH(A79,-1)),"Dropped","")))</f>
        <v/>
      </c>
      <c r="S79" s="41" t="str">
        <f aca="false">IF(B79="","",B79&amp;"|"&amp;(YEAR(A79)*100+MONTH(A79)))</f>
        <v/>
      </c>
    </row>
    <row r="80" customFormat="false" ht="15" hidden="false" customHeight="false" outlineLevel="0" collapsed="false">
      <c r="A80" s="37"/>
      <c r="C80" s="0" t="str">
        <f aca="false">IF(B80="","",IFERROR(INDEX(Project_Register!$B$6:$B$40,MATCH(B80,Project_Register!$A$6:$A$40,0)),"Unknown ID"))</f>
        <v/>
      </c>
      <c r="D80" s="38"/>
      <c r="E80" s="24"/>
      <c r="F80" s="24"/>
      <c r="G80" s="39"/>
      <c r="J80" s="39"/>
      <c r="K80" s="38" t="str">
        <f aca="false">IF(OR(B80="",T80="On Hold"),"",MAX(0,MIN(1,(A80-INDEX(Project_Register!$G$6:$G$40,MATCH(B80,Project_Register!$A$6:$A$40,0)))/(INDEX(Project_Register!$H$6:$H$40,MATCH(B80,Project_Register!$A$6:$A$40,0))-INDEX(Project_Register!$G$6:$G$40,MATCH(B80,Project_Register!$A$6:$A$40,0))))))</f>
        <v/>
      </c>
      <c r="L80" s="40" t="str">
        <f aca="false">IF(OR(B80="",D80="",T80="On Hold"),"",ROUND((D80-K80)*100,0))</f>
        <v/>
      </c>
      <c r="M80" s="38" t="str">
        <f aca="false">IF(OR(B80="",F80=""),"",F80/INDEX(Project_Register!$I$6:$I$40,MATCH(B80,Project_Register!$A$6:$A$40,0)))</f>
        <v/>
      </c>
      <c r="N80" s="40" t="str">
        <f aca="false">IF(OR(B80="",G80="",T80="On Hold"),"",G80-INDEX(Project_Register!$H$6:$H$40,MATCH(B80,Project_Register!$A$6:$A$40,0)))</f>
        <v/>
      </c>
      <c r="O80" s="0" t="str">
        <f aca="false">IF(B80="","",IF(D80="","No update",IF(AND(T80&lt;&gt;"Active",D80&lt;1),T80,IF(D80&gt;=1,"Complete",IF(OR(L80&lt;=SV_Red,M80&gt;Cost_Red,N80&gt;Slip_Red),"Red",IF(OR(L80&lt;=SV_Amber,M80&gt;Cost_Amber,N80&gt;Slip_Amber),"Amber","Green"))))))</f>
        <v/>
      </c>
      <c r="P80" s="0" t="str">
        <f aca="false">IF(AND(H80="Green",OR(O80="Amber",O80="Red")),"Watermelon","")</f>
        <v/>
      </c>
      <c r="Q80" s="0" t="str">
        <f aca="false">IF(B80="","",IF(J80="","Missing",IF(J80&gt;A80+UpdateDue,"Late","On time")))</f>
        <v/>
      </c>
      <c r="R80" s="0" t="str">
        <f aca="false">IF(OR(B80="",D80=""),"",IF(COUNTIFS($B$6:$B$400,B80,$A$6:$A$400,EOMONTH(A80,-1))=0,"",IF(D80&lt;SUMIFS($D$6:$D$400,$B$6:$B$400,B80,$A$6:$A$400,EOMONTH(A80,-1)),"Dropped","")))</f>
        <v/>
      </c>
      <c r="S80" s="41" t="str">
        <f aca="false">IF(B80="","",B80&amp;"|"&amp;(YEAR(A80)*100+MONTH(A80)))</f>
        <v/>
      </c>
    </row>
    <row r="81" customFormat="false" ht="15" hidden="false" customHeight="false" outlineLevel="0" collapsed="false">
      <c r="A81" s="37"/>
      <c r="C81" s="0" t="str">
        <f aca="false">IF(B81="","",IFERROR(INDEX(Project_Register!$B$6:$B$40,MATCH(B81,Project_Register!$A$6:$A$40,0)),"Unknown ID"))</f>
        <v/>
      </c>
      <c r="D81" s="38"/>
      <c r="E81" s="24"/>
      <c r="F81" s="24"/>
      <c r="G81" s="39"/>
      <c r="J81" s="39"/>
      <c r="K81" s="38" t="str">
        <f aca="false">IF(OR(B81="",T81="On Hold"),"",MAX(0,MIN(1,(A81-INDEX(Project_Register!$G$6:$G$40,MATCH(B81,Project_Register!$A$6:$A$40,0)))/(INDEX(Project_Register!$H$6:$H$40,MATCH(B81,Project_Register!$A$6:$A$40,0))-INDEX(Project_Register!$G$6:$G$40,MATCH(B81,Project_Register!$A$6:$A$40,0))))))</f>
        <v/>
      </c>
      <c r="L81" s="40" t="str">
        <f aca="false">IF(OR(B81="",D81="",T81="On Hold"),"",ROUND((D81-K81)*100,0))</f>
        <v/>
      </c>
      <c r="M81" s="38" t="str">
        <f aca="false">IF(OR(B81="",F81=""),"",F81/INDEX(Project_Register!$I$6:$I$40,MATCH(B81,Project_Register!$A$6:$A$40,0)))</f>
        <v/>
      </c>
      <c r="N81" s="40" t="str">
        <f aca="false">IF(OR(B81="",G81="",T81="On Hold"),"",G81-INDEX(Project_Register!$H$6:$H$40,MATCH(B81,Project_Register!$A$6:$A$40,0)))</f>
        <v/>
      </c>
      <c r="O81" s="0" t="str">
        <f aca="false">IF(B81="","",IF(D81="","No update",IF(AND(T81&lt;&gt;"Active",D81&lt;1),T81,IF(D81&gt;=1,"Complete",IF(OR(L81&lt;=SV_Red,M81&gt;Cost_Red,N81&gt;Slip_Red),"Red",IF(OR(L81&lt;=SV_Amber,M81&gt;Cost_Amber,N81&gt;Slip_Amber),"Amber","Green"))))))</f>
        <v/>
      </c>
      <c r="P81" s="0" t="str">
        <f aca="false">IF(AND(H81="Green",OR(O81="Amber",O81="Red")),"Watermelon","")</f>
        <v/>
      </c>
      <c r="Q81" s="0" t="str">
        <f aca="false">IF(B81="","",IF(J81="","Missing",IF(J81&gt;A81+UpdateDue,"Late","On time")))</f>
        <v/>
      </c>
      <c r="R81" s="0" t="str">
        <f aca="false">IF(OR(B81="",D81=""),"",IF(COUNTIFS($B$6:$B$400,B81,$A$6:$A$400,EOMONTH(A81,-1))=0,"",IF(D81&lt;SUMIFS($D$6:$D$400,$B$6:$B$400,B81,$A$6:$A$400,EOMONTH(A81,-1)),"Dropped","")))</f>
        <v/>
      </c>
      <c r="S81" s="41" t="str">
        <f aca="false">IF(B81="","",B81&amp;"|"&amp;(YEAR(A81)*100+MONTH(A81)))</f>
        <v/>
      </c>
    </row>
    <row r="82" customFormat="false" ht="15" hidden="false" customHeight="false" outlineLevel="0" collapsed="false">
      <c r="A82" s="37"/>
      <c r="C82" s="0" t="str">
        <f aca="false">IF(B82="","",IFERROR(INDEX(Project_Register!$B$6:$B$40,MATCH(B82,Project_Register!$A$6:$A$40,0)),"Unknown ID"))</f>
        <v/>
      </c>
      <c r="D82" s="38"/>
      <c r="E82" s="24"/>
      <c r="F82" s="24"/>
      <c r="G82" s="39"/>
      <c r="J82" s="39"/>
      <c r="K82" s="38" t="str">
        <f aca="false">IF(OR(B82="",T82="On Hold"),"",MAX(0,MIN(1,(A82-INDEX(Project_Register!$G$6:$G$40,MATCH(B82,Project_Register!$A$6:$A$40,0)))/(INDEX(Project_Register!$H$6:$H$40,MATCH(B82,Project_Register!$A$6:$A$40,0))-INDEX(Project_Register!$G$6:$G$40,MATCH(B82,Project_Register!$A$6:$A$40,0))))))</f>
        <v/>
      </c>
      <c r="L82" s="40" t="str">
        <f aca="false">IF(OR(B82="",D82="",T82="On Hold"),"",ROUND((D82-K82)*100,0))</f>
        <v/>
      </c>
      <c r="M82" s="38" t="str">
        <f aca="false">IF(OR(B82="",F82=""),"",F82/INDEX(Project_Register!$I$6:$I$40,MATCH(B82,Project_Register!$A$6:$A$40,0)))</f>
        <v/>
      </c>
      <c r="N82" s="40" t="str">
        <f aca="false">IF(OR(B82="",G82="",T82="On Hold"),"",G82-INDEX(Project_Register!$H$6:$H$40,MATCH(B82,Project_Register!$A$6:$A$40,0)))</f>
        <v/>
      </c>
      <c r="O82" s="0" t="str">
        <f aca="false">IF(B82="","",IF(D82="","No update",IF(AND(T82&lt;&gt;"Active",D82&lt;1),T82,IF(D82&gt;=1,"Complete",IF(OR(L82&lt;=SV_Red,M82&gt;Cost_Red,N82&gt;Slip_Red),"Red",IF(OR(L82&lt;=SV_Amber,M82&gt;Cost_Amber,N82&gt;Slip_Amber),"Amber","Green"))))))</f>
        <v/>
      </c>
      <c r="P82" s="0" t="str">
        <f aca="false">IF(AND(H82="Green",OR(O82="Amber",O82="Red")),"Watermelon","")</f>
        <v/>
      </c>
      <c r="Q82" s="0" t="str">
        <f aca="false">IF(B82="","",IF(J82="","Missing",IF(J82&gt;A82+UpdateDue,"Late","On time")))</f>
        <v/>
      </c>
      <c r="R82" s="0" t="str">
        <f aca="false">IF(OR(B82="",D82=""),"",IF(COUNTIFS($B$6:$B$400,B82,$A$6:$A$400,EOMONTH(A82,-1))=0,"",IF(D82&lt;SUMIFS($D$6:$D$400,$B$6:$B$400,B82,$A$6:$A$400,EOMONTH(A82,-1)),"Dropped","")))</f>
        <v/>
      </c>
      <c r="S82" s="41" t="str">
        <f aca="false">IF(B82="","",B82&amp;"|"&amp;(YEAR(A82)*100+MONTH(A82)))</f>
        <v/>
      </c>
    </row>
    <row r="83" customFormat="false" ht="15" hidden="false" customHeight="false" outlineLevel="0" collapsed="false">
      <c r="A83" s="37"/>
      <c r="C83" s="0" t="str">
        <f aca="false">IF(B83="","",IFERROR(INDEX(Project_Register!$B$6:$B$40,MATCH(B83,Project_Register!$A$6:$A$40,0)),"Unknown ID"))</f>
        <v/>
      </c>
      <c r="D83" s="38"/>
      <c r="E83" s="24"/>
      <c r="F83" s="24"/>
      <c r="G83" s="39"/>
      <c r="J83" s="39"/>
      <c r="K83" s="38" t="str">
        <f aca="false">IF(OR(B83="",T83="On Hold"),"",MAX(0,MIN(1,(A83-INDEX(Project_Register!$G$6:$G$40,MATCH(B83,Project_Register!$A$6:$A$40,0)))/(INDEX(Project_Register!$H$6:$H$40,MATCH(B83,Project_Register!$A$6:$A$40,0))-INDEX(Project_Register!$G$6:$G$40,MATCH(B83,Project_Register!$A$6:$A$40,0))))))</f>
        <v/>
      </c>
      <c r="L83" s="40" t="str">
        <f aca="false">IF(OR(B83="",D83="",T83="On Hold"),"",ROUND((D83-K83)*100,0))</f>
        <v/>
      </c>
      <c r="M83" s="38" t="str">
        <f aca="false">IF(OR(B83="",F83=""),"",F83/INDEX(Project_Register!$I$6:$I$40,MATCH(B83,Project_Register!$A$6:$A$40,0)))</f>
        <v/>
      </c>
      <c r="N83" s="40" t="str">
        <f aca="false">IF(OR(B83="",G83="",T83="On Hold"),"",G83-INDEX(Project_Register!$H$6:$H$40,MATCH(B83,Project_Register!$A$6:$A$40,0)))</f>
        <v/>
      </c>
      <c r="O83" s="0" t="str">
        <f aca="false">IF(B83="","",IF(D83="","No update",IF(AND(T83&lt;&gt;"Active",D83&lt;1),T83,IF(D83&gt;=1,"Complete",IF(OR(L83&lt;=SV_Red,M83&gt;Cost_Red,N83&gt;Slip_Red),"Red",IF(OR(L83&lt;=SV_Amber,M83&gt;Cost_Amber,N83&gt;Slip_Amber),"Amber","Green"))))))</f>
        <v/>
      </c>
      <c r="P83" s="0" t="str">
        <f aca="false">IF(AND(H83="Green",OR(O83="Amber",O83="Red")),"Watermelon","")</f>
        <v/>
      </c>
      <c r="Q83" s="0" t="str">
        <f aca="false">IF(B83="","",IF(J83="","Missing",IF(J83&gt;A83+UpdateDue,"Late","On time")))</f>
        <v/>
      </c>
      <c r="R83" s="0" t="str">
        <f aca="false">IF(OR(B83="",D83=""),"",IF(COUNTIFS($B$6:$B$400,B83,$A$6:$A$400,EOMONTH(A83,-1))=0,"",IF(D83&lt;SUMIFS($D$6:$D$400,$B$6:$B$400,B83,$A$6:$A$400,EOMONTH(A83,-1)),"Dropped","")))</f>
        <v/>
      </c>
      <c r="S83" s="41" t="str">
        <f aca="false">IF(B83="","",B83&amp;"|"&amp;(YEAR(A83)*100+MONTH(A83)))</f>
        <v/>
      </c>
    </row>
    <row r="84" customFormat="false" ht="15" hidden="false" customHeight="false" outlineLevel="0" collapsed="false">
      <c r="A84" s="37"/>
      <c r="C84" s="0" t="str">
        <f aca="false">IF(B84="","",IFERROR(INDEX(Project_Register!$B$6:$B$40,MATCH(B84,Project_Register!$A$6:$A$40,0)),"Unknown ID"))</f>
        <v/>
      </c>
      <c r="D84" s="38"/>
      <c r="E84" s="24"/>
      <c r="F84" s="24"/>
      <c r="G84" s="39"/>
      <c r="J84" s="39"/>
      <c r="K84" s="38" t="str">
        <f aca="false">IF(OR(B84="",T84="On Hold"),"",MAX(0,MIN(1,(A84-INDEX(Project_Register!$G$6:$G$40,MATCH(B84,Project_Register!$A$6:$A$40,0)))/(INDEX(Project_Register!$H$6:$H$40,MATCH(B84,Project_Register!$A$6:$A$40,0))-INDEX(Project_Register!$G$6:$G$40,MATCH(B84,Project_Register!$A$6:$A$40,0))))))</f>
        <v/>
      </c>
      <c r="L84" s="40" t="str">
        <f aca="false">IF(OR(B84="",D84="",T84="On Hold"),"",ROUND((D84-K84)*100,0))</f>
        <v/>
      </c>
      <c r="M84" s="38" t="str">
        <f aca="false">IF(OR(B84="",F84=""),"",F84/INDEX(Project_Register!$I$6:$I$40,MATCH(B84,Project_Register!$A$6:$A$40,0)))</f>
        <v/>
      </c>
      <c r="N84" s="40" t="str">
        <f aca="false">IF(OR(B84="",G84="",T84="On Hold"),"",G84-INDEX(Project_Register!$H$6:$H$40,MATCH(B84,Project_Register!$A$6:$A$40,0)))</f>
        <v/>
      </c>
      <c r="O84" s="0" t="str">
        <f aca="false">IF(B84="","",IF(D84="","No update",IF(AND(T84&lt;&gt;"Active",D84&lt;1),T84,IF(D84&gt;=1,"Complete",IF(OR(L84&lt;=SV_Red,M84&gt;Cost_Red,N84&gt;Slip_Red),"Red",IF(OR(L84&lt;=SV_Amber,M84&gt;Cost_Amber,N84&gt;Slip_Amber),"Amber","Green"))))))</f>
        <v/>
      </c>
      <c r="P84" s="0" t="str">
        <f aca="false">IF(AND(H84="Green",OR(O84="Amber",O84="Red")),"Watermelon","")</f>
        <v/>
      </c>
      <c r="Q84" s="0" t="str">
        <f aca="false">IF(B84="","",IF(J84="","Missing",IF(J84&gt;A84+UpdateDue,"Late","On time")))</f>
        <v/>
      </c>
      <c r="R84" s="0" t="str">
        <f aca="false">IF(OR(B84="",D84=""),"",IF(COUNTIFS($B$6:$B$400,B84,$A$6:$A$400,EOMONTH(A84,-1))=0,"",IF(D84&lt;SUMIFS($D$6:$D$400,$B$6:$B$400,B84,$A$6:$A$400,EOMONTH(A84,-1)),"Dropped","")))</f>
        <v/>
      </c>
      <c r="S84" s="41" t="str">
        <f aca="false">IF(B84="","",B84&amp;"|"&amp;(YEAR(A84)*100+MONTH(A84)))</f>
        <v/>
      </c>
    </row>
    <row r="85" customFormat="false" ht="15" hidden="false" customHeight="false" outlineLevel="0" collapsed="false">
      <c r="A85" s="37"/>
      <c r="C85" s="0" t="str">
        <f aca="false">IF(B85="","",IFERROR(INDEX(Project_Register!$B$6:$B$40,MATCH(B85,Project_Register!$A$6:$A$40,0)),"Unknown ID"))</f>
        <v/>
      </c>
      <c r="D85" s="38"/>
      <c r="E85" s="24"/>
      <c r="F85" s="24"/>
      <c r="G85" s="39"/>
      <c r="J85" s="39"/>
      <c r="K85" s="38" t="str">
        <f aca="false">IF(OR(B85="",T85="On Hold"),"",MAX(0,MIN(1,(A85-INDEX(Project_Register!$G$6:$G$40,MATCH(B85,Project_Register!$A$6:$A$40,0)))/(INDEX(Project_Register!$H$6:$H$40,MATCH(B85,Project_Register!$A$6:$A$40,0))-INDEX(Project_Register!$G$6:$G$40,MATCH(B85,Project_Register!$A$6:$A$40,0))))))</f>
        <v/>
      </c>
      <c r="L85" s="40" t="str">
        <f aca="false">IF(OR(B85="",D85="",T85="On Hold"),"",ROUND((D85-K85)*100,0))</f>
        <v/>
      </c>
      <c r="M85" s="38" t="str">
        <f aca="false">IF(OR(B85="",F85=""),"",F85/INDEX(Project_Register!$I$6:$I$40,MATCH(B85,Project_Register!$A$6:$A$40,0)))</f>
        <v/>
      </c>
      <c r="N85" s="40" t="str">
        <f aca="false">IF(OR(B85="",G85="",T85="On Hold"),"",G85-INDEX(Project_Register!$H$6:$H$40,MATCH(B85,Project_Register!$A$6:$A$40,0)))</f>
        <v/>
      </c>
      <c r="O85" s="0" t="str">
        <f aca="false">IF(B85="","",IF(D85="","No update",IF(AND(T85&lt;&gt;"Active",D85&lt;1),T85,IF(D85&gt;=1,"Complete",IF(OR(L85&lt;=SV_Red,M85&gt;Cost_Red,N85&gt;Slip_Red),"Red",IF(OR(L85&lt;=SV_Amber,M85&gt;Cost_Amber,N85&gt;Slip_Amber),"Amber","Green"))))))</f>
        <v/>
      </c>
      <c r="P85" s="0" t="str">
        <f aca="false">IF(AND(H85="Green",OR(O85="Amber",O85="Red")),"Watermelon","")</f>
        <v/>
      </c>
      <c r="Q85" s="0" t="str">
        <f aca="false">IF(B85="","",IF(J85="","Missing",IF(J85&gt;A85+UpdateDue,"Late","On time")))</f>
        <v/>
      </c>
      <c r="R85" s="0" t="str">
        <f aca="false">IF(OR(B85="",D85=""),"",IF(COUNTIFS($B$6:$B$400,B85,$A$6:$A$400,EOMONTH(A85,-1))=0,"",IF(D85&lt;SUMIFS($D$6:$D$400,$B$6:$B$400,B85,$A$6:$A$400,EOMONTH(A85,-1)),"Dropped","")))</f>
        <v/>
      </c>
      <c r="S85" s="41" t="str">
        <f aca="false">IF(B85="","",B85&amp;"|"&amp;(YEAR(A85)*100+MONTH(A85)))</f>
        <v/>
      </c>
    </row>
    <row r="86" customFormat="false" ht="15" hidden="false" customHeight="false" outlineLevel="0" collapsed="false">
      <c r="A86" s="37"/>
      <c r="C86" s="0" t="str">
        <f aca="false">IF(B86="","",IFERROR(INDEX(Project_Register!$B$6:$B$40,MATCH(B86,Project_Register!$A$6:$A$40,0)),"Unknown ID"))</f>
        <v/>
      </c>
      <c r="D86" s="38"/>
      <c r="E86" s="24"/>
      <c r="F86" s="24"/>
      <c r="G86" s="39"/>
      <c r="J86" s="39"/>
      <c r="K86" s="38" t="str">
        <f aca="false">IF(OR(B86="",T86="On Hold"),"",MAX(0,MIN(1,(A86-INDEX(Project_Register!$G$6:$G$40,MATCH(B86,Project_Register!$A$6:$A$40,0)))/(INDEX(Project_Register!$H$6:$H$40,MATCH(B86,Project_Register!$A$6:$A$40,0))-INDEX(Project_Register!$G$6:$G$40,MATCH(B86,Project_Register!$A$6:$A$40,0))))))</f>
        <v/>
      </c>
      <c r="L86" s="40" t="str">
        <f aca="false">IF(OR(B86="",D86="",T86="On Hold"),"",ROUND((D86-K86)*100,0))</f>
        <v/>
      </c>
      <c r="M86" s="38" t="str">
        <f aca="false">IF(OR(B86="",F86=""),"",F86/INDEX(Project_Register!$I$6:$I$40,MATCH(B86,Project_Register!$A$6:$A$40,0)))</f>
        <v/>
      </c>
      <c r="N86" s="40" t="str">
        <f aca="false">IF(OR(B86="",G86="",T86="On Hold"),"",G86-INDEX(Project_Register!$H$6:$H$40,MATCH(B86,Project_Register!$A$6:$A$40,0)))</f>
        <v/>
      </c>
      <c r="O86" s="0" t="str">
        <f aca="false">IF(B86="","",IF(D86="","No update",IF(AND(T86&lt;&gt;"Active",D86&lt;1),T86,IF(D86&gt;=1,"Complete",IF(OR(L86&lt;=SV_Red,M86&gt;Cost_Red,N86&gt;Slip_Red),"Red",IF(OR(L86&lt;=SV_Amber,M86&gt;Cost_Amber,N86&gt;Slip_Amber),"Amber","Green"))))))</f>
        <v/>
      </c>
      <c r="P86" s="0" t="str">
        <f aca="false">IF(AND(H86="Green",OR(O86="Amber",O86="Red")),"Watermelon","")</f>
        <v/>
      </c>
      <c r="Q86" s="0" t="str">
        <f aca="false">IF(B86="","",IF(J86="","Missing",IF(J86&gt;A86+UpdateDue,"Late","On time")))</f>
        <v/>
      </c>
      <c r="R86" s="0" t="str">
        <f aca="false">IF(OR(B86="",D86=""),"",IF(COUNTIFS($B$6:$B$400,B86,$A$6:$A$400,EOMONTH(A86,-1))=0,"",IF(D86&lt;SUMIFS($D$6:$D$400,$B$6:$B$400,B86,$A$6:$A$400,EOMONTH(A86,-1)),"Dropped","")))</f>
        <v/>
      </c>
      <c r="S86" s="41" t="str">
        <f aca="false">IF(B86="","",B86&amp;"|"&amp;(YEAR(A86)*100+MONTH(A86)))</f>
        <v/>
      </c>
    </row>
    <row r="87" customFormat="false" ht="15" hidden="false" customHeight="false" outlineLevel="0" collapsed="false">
      <c r="A87" s="37"/>
      <c r="C87" s="0" t="str">
        <f aca="false">IF(B87="","",IFERROR(INDEX(Project_Register!$B$6:$B$40,MATCH(B87,Project_Register!$A$6:$A$40,0)),"Unknown ID"))</f>
        <v/>
      </c>
      <c r="D87" s="38"/>
      <c r="E87" s="24"/>
      <c r="F87" s="24"/>
      <c r="G87" s="39"/>
      <c r="J87" s="39"/>
      <c r="K87" s="38" t="str">
        <f aca="false">IF(OR(B87="",T87="On Hold"),"",MAX(0,MIN(1,(A87-INDEX(Project_Register!$G$6:$G$40,MATCH(B87,Project_Register!$A$6:$A$40,0)))/(INDEX(Project_Register!$H$6:$H$40,MATCH(B87,Project_Register!$A$6:$A$40,0))-INDEX(Project_Register!$G$6:$G$40,MATCH(B87,Project_Register!$A$6:$A$40,0))))))</f>
        <v/>
      </c>
      <c r="L87" s="40" t="str">
        <f aca="false">IF(OR(B87="",D87="",T87="On Hold"),"",ROUND((D87-K87)*100,0))</f>
        <v/>
      </c>
      <c r="M87" s="38" t="str">
        <f aca="false">IF(OR(B87="",F87=""),"",F87/INDEX(Project_Register!$I$6:$I$40,MATCH(B87,Project_Register!$A$6:$A$40,0)))</f>
        <v/>
      </c>
      <c r="N87" s="40" t="str">
        <f aca="false">IF(OR(B87="",G87="",T87="On Hold"),"",G87-INDEX(Project_Register!$H$6:$H$40,MATCH(B87,Project_Register!$A$6:$A$40,0)))</f>
        <v/>
      </c>
      <c r="O87" s="0" t="str">
        <f aca="false">IF(B87="","",IF(D87="","No update",IF(AND(T87&lt;&gt;"Active",D87&lt;1),T87,IF(D87&gt;=1,"Complete",IF(OR(L87&lt;=SV_Red,M87&gt;Cost_Red,N87&gt;Slip_Red),"Red",IF(OR(L87&lt;=SV_Amber,M87&gt;Cost_Amber,N87&gt;Slip_Amber),"Amber","Green"))))))</f>
        <v/>
      </c>
      <c r="P87" s="0" t="str">
        <f aca="false">IF(AND(H87="Green",OR(O87="Amber",O87="Red")),"Watermelon","")</f>
        <v/>
      </c>
      <c r="Q87" s="0" t="str">
        <f aca="false">IF(B87="","",IF(J87="","Missing",IF(J87&gt;A87+UpdateDue,"Late","On time")))</f>
        <v/>
      </c>
      <c r="R87" s="0" t="str">
        <f aca="false">IF(OR(B87="",D87=""),"",IF(COUNTIFS($B$6:$B$400,B87,$A$6:$A$400,EOMONTH(A87,-1))=0,"",IF(D87&lt;SUMIFS($D$6:$D$400,$B$6:$B$400,B87,$A$6:$A$400,EOMONTH(A87,-1)),"Dropped","")))</f>
        <v/>
      </c>
      <c r="S87" s="41" t="str">
        <f aca="false">IF(B87="","",B87&amp;"|"&amp;(YEAR(A87)*100+MONTH(A87)))</f>
        <v/>
      </c>
    </row>
    <row r="88" customFormat="false" ht="15" hidden="false" customHeight="false" outlineLevel="0" collapsed="false">
      <c r="A88" s="37"/>
      <c r="C88" s="0" t="str">
        <f aca="false">IF(B88="","",IFERROR(INDEX(Project_Register!$B$6:$B$40,MATCH(B88,Project_Register!$A$6:$A$40,0)),"Unknown ID"))</f>
        <v/>
      </c>
      <c r="D88" s="38"/>
      <c r="E88" s="24"/>
      <c r="F88" s="24"/>
      <c r="G88" s="39"/>
      <c r="J88" s="39"/>
      <c r="K88" s="38" t="str">
        <f aca="false">IF(OR(B88="",T88="On Hold"),"",MAX(0,MIN(1,(A88-INDEX(Project_Register!$G$6:$G$40,MATCH(B88,Project_Register!$A$6:$A$40,0)))/(INDEX(Project_Register!$H$6:$H$40,MATCH(B88,Project_Register!$A$6:$A$40,0))-INDEX(Project_Register!$G$6:$G$40,MATCH(B88,Project_Register!$A$6:$A$40,0))))))</f>
        <v/>
      </c>
      <c r="L88" s="40" t="str">
        <f aca="false">IF(OR(B88="",D88="",T88="On Hold"),"",ROUND((D88-K88)*100,0))</f>
        <v/>
      </c>
      <c r="M88" s="38" t="str">
        <f aca="false">IF(OR(B88="",F88=""),"",F88/INDEX(Project_Register!$I$6:$I$40,MATCH(B88,Project_Register!$A$6:$A$40,0)))</f>
        <v/>
      </c>
      <c r="N88" s="40" t="str">
        <f aca="false">IF(OR(B88="",G88="",T88="On Hold"),"",G88-INDEX(Project_Register!$H$6:$H$40,MATCH(B88,Project_Register!$A$6:$A$40,0)))</f>
        <v/>
      </c>
      <c r="O88" s="0" t="str">
        <f aca="false">IF(B88="","",IF(D88="","No update",IF(AND(T88&lt;&gt;"Active",D88&lt;1),T88,IF(D88&gt;=1,"Complete",IF(OR(L88&lt;=SV_Red,M88&gt;Cost_Red,N88&gt;Slip_Red),"Red",IF(OR(L88&lt;=SV_Amber,M88&gt;Cost_Amber,N88&gt;Slip_Amber),"Amber","Green"))))))</f>
        <v/>
      </c>
      <c r="P88" s="0" t="str">
        <f aca="false">IF(AND(H88="Green",OR(O88="Amber",O88="Red")),"Watermelon","")</f>
        <v/>
      </c>
      <c r="Q88" s="0" t="str">
        <f aca="false">IF(B88="","",IF(J88="","Missing",IF(J88&gt;A88+UpdateDue,"Late","On time")))</f>
        <v/>
      </c>
      <c r="R88" s="0" t="str">
        <f aca="false">IF(OR(B88="",D88=""),"",IF(COUNTIFS($B$6:$B$400,B88,$A$6:$A$400,EOMONTH(A88,-1))=0,"",IF(D88&lt;SUMIFS($D$6:$D$400,$B$6:$B$400,B88,$A$6:$A$400,EOMONTH(A88,-1)),"Dropped","")))</f>
        <v/>
      </c>
      <c r="S88" s="41" t="str">
        <f aca="false">IF(B88="","",B88&amp;"|"&amp;(YEAR(A88)*100+MONTH(A88)))</f>
        <v/>
      </c>
    </row>
    <row r="89" customFormat="false" ht="15" hidden="false" customHeight="false" outlineLevel="0" collapsed="false">
      <c r="A89" s="37"/>
      <c r="C89" s="0" t="str">
        <f aca="false">IF(B89="","",IFERROR(INDEX(Project_Register!$B$6:$B$40,MATCH(B89,Project_Register!$A$6:$A$40,0)),"Unknown ID"))</f>
        <v/>
      </c>
      <c r="D89" s="38"/>
      <c r="E89" s="24"/>
      <c r="F89" s="24"/>
      <c r="G89" s="39"/>
      <c r="J89" s="39"/>
      <c r="K89" s="38" t="str">
        <f aca="false">IF(OR(B89="",T89="On Hold"),"",MAX(0,MIN(1,(A89-INDEX(Project_Register!$G$6:$G$40,MATCH(B89,Project_Register!$A$6:$A$40,0)))/(INDEX(Project_Register!$H$6:$H$40,MATCH(B89,Project_Register!$A$6:$A$40,0))-INDEX(Project_Register!$G$6:$G$40,MATCH(B89,Project_Register!$A$6:$A$40,0))))))</f>
        <v/>
      </c>
      <c r="L89" s="40" t="str">
        <f aca="false">IF(OR(B89="",D89="",T89="On Hold"),"",ROUND((D89-K89)*100,0))</f>
        <v/>
      </c>
      <c r="M89" s="38" t="str">
        <f aca="false">IF(OR(B89="",F89=""),"",F89/INDEX(Project_Register!$I$6:$I$40,MATCH(B89,Project_Register!$A$6:$A$40,0)))</f>
        <v/>
      </c>
      <c r="N89" s="40" t="str">
        <f aca="false">IF(OR(B89="",G89="",T89="On Hold"),"",G89-INDEX(Project_Register!$H$6:$H$40,MATCH(B89,Project_Register!$A$6:$A$40,0)))</f>
        <v/>
      </c>
      <c r="O89" s="0" t="str">
        <f aca="false">IF(B89="","",IF(D89="","No update",IF(AND(T89&lt;&gt;"Active",D89&lt;1),T89,IF(D89&gt;=1,"Complete",IF(OR(L89&lt;=SV_Red,M89&gt;Cost_Red,N89&gt;Slip_Red),"Red",IF(OR(L89&lt;=SV_Amber,M89&gt;Cost_Amber,N89&gt;Slip_Amber),"Amber","Green"))))))</f>
        <v/>
      </c>
      <c r="P89" s="0" t="str">
        <f aca="false">IF(AND(H89="Green",OR(O89="Amber",O89="Red")),"Watermelon","")</f>
        <v/>
      </c>
      <c r="Q89" s="0" t="str">
        <f aca="false">IF(B89="","",IF(J89="","Missing",IF(J89&gt;A89+UpdateDue,"Late","On time")))</f>
        <v/>
      </c>
      <c r="R89" s="0" t="str">
        <f aca="false">IF(OR(B89="",D89=""),"",IF(COUNTIFS($B$6:$B$400,B89,$A$6:$A$400,EOMONTH(A89,-1))=0,"",IF(D89&lt;SUMIFS($D$6:$D$400,$B$6:$B$400,B89,$A$6:$A$400,EOMONTH(A89,-1)),"Dropped","")))</f>
        <v/>
      </c>
      <c r="S89" s="41" t="str">
        <f aca="false">IF(B89="","",B89&amp;"|"&amp;(YEAR(A89)*100+MONTH(A89)))</f>
        <v/>
      </c>
    </row>
    <row r="90" customFormat="false" ht="15" hidden="false" customHeight="false" outlineLevel="0" collapsed="false">
      <c r="A90" s="37"/>
      <c r="C90" s="0" t="str">
        <f aca="false">IF(B90="","",IFERROR(INDEX(Project_Register!$B$6:$B$40,MATCH(B90,Project_Register!$A$6:$A$40,0)),"Unknown ID"))</f>
        <v/>
      </c>
      <c r="D90" s="38"/>
      <c r="E90" s="24"/>
      <c r="F90" s="24"/>
      <c r="G90" s="39"/>
      <c r="J90" s="39"/>
      <c r="K90" s="38" t="str">
        <f aca="false">IF(OR(B90="",T90="On Hold"),"",MAX(0,MIN(1,(A90-INDEX(Project_Register!$G$6:$G$40,MATCH(B90,Project_Register!$A$6:$A$40,0)))/(INDEX(Project_Register!$H$6:$H$40,MATCH(B90,Project_Register!$A$6:$A$40,0))-INDEX(Project_Register!$G$6:$G$40,MATCH(B90,Project_Register!$A$6:$A$40,0))))))</f>
        <v/>
      </c>
      <c r="L90" s="40" t="str">
        <f aca="false">IF(OR(B90="",D90="",T90="On Hold"),"",ROUND((D90-K90)*100,0))</f>
        <v/>
      </c>
      <c r="M90" s="38" t="str">
        <f aca="false">IF(OR(B90="",F90=""),"",F90/INDEX(Project_Register!$I$6:$I$40,MATCH(B90,Project_Register!$A$6:$A$40,0)))</f>
        <v/>
      </c>
      <c r="N90" s="40" t="str">
        <f aca="false">IF(OR(B90="",G90="",T90="On Hold"),"",G90-INDEX(Project_Register!$H$6:$H$40,MATCH(B90,Project_Register!$A$6:$A$40,0)))</f>
        <v/>
      </c>
      <c r="O90" s="0" t="str">
        <f aca="false">IF(B90="","",IF(D90="","No update",IF(AND(T90&lt;&gt;"Active",D90&lt;1),T90,IF(D90&gt;=1,"Complete",IF(OR(L90&lt;=SV_Red,M90&gt;Cost_Red,N90&gt;Slip_Red),"Red",IF(OR(L90&lt;=SV_Amber,M90&gt;Cost_Amber,N90&gt;Slip_Amber),"Amber","Green"))))))</f>
        <v/>
      </c>
      <c r="P90" s="0" t="str">
        <f aca="false">IF(AND(H90="Green",OR(O90="Amber",O90="Red")),"Watermelon","")</f>
        <v/>
      </c>
      <c r="Q90" s="0" t="str">
        <f aca="false">IF(B90="","",IF(J90="","Missing",IF(J90&gt;A90+UpdateDue,"Late","On time")))</f>
        <v/>
      </c>
      <c r="R90" s="0" t="str">
        <f aca="false">IF(OR(B90="",D90=""),"",IF(COUNTIFS($B$6:$B$400,B90,$A$6:$A$400,EOMONTH(A90,-1))=0,"",IF(D90&lt;SUMIFS($D$6:$D$400,$B$6:$B$400,B90,$A$6:$A$400,EOMONTH(A90,-1)),"Dropped","")))</f>
        <v/>
      </c>
      <c r="S90" s="41" t="str">
        <f aca="false">IF(B90="","",B90&amp;"|"&amp;(YEAR(A90)*100+MONTH(A90)))</f>
        <v/>
      </c>
    </row>
    <row r="91" customFormat="false" ht="15" hidden="false" customHeight="false" outlineLevel="0" collapsed="false">
      <c r="A91" s="37"/>
      <c r="C91" s="0" t="str">
        <f aca="false">IF(B91="","",IFERROR(INDEX(Project_Register!$B$6:$B$40,MATCH(B91,Project_Register!$A$6:$A$40,0)),"Unknown ID"))</f>
        <v/>
      </c>
      <c r="D91" s="38"/>
      <c r="E91" s="24"/>
      <c r="F91" s="24"/>
      <c r="G91" s="39"/>
      <c r="J91" s="39"/>
      <c r="K91" s="38" t="str">
        <f aca="false">IF(OR(B91="",T91="On Hold"),"",MAX(0,MIN(1,(A91-INDEX(Project_Register!$G$6:$G$40,MATCH(B91,Project_Register!$A$6:$A$40,0)))/(INDEX(Project_Register!$H$6:$H$40,MATCH(B91,Project_Register!$A$6:$A$40,0))-INDEX(Project_Register!$G$6:$G$40,MATCH(B91,Project_Register!$A$6:$A$40,0))))))</f>
        <v/>
      </c>
      <c r="L91" s="40" t="str">
        <f aca="false">IF(OR(B91="",D91="",T91="On Hold"),"",ROUND((D91-K91)*100,0))</f>
        <v/>
      </c>
      <c r="M91" s="38" t="str">
        <f aca="false">IF(OR(B91="",F91=""),"",F91/INDEX(Project_Register!$I$6:$I$40,MATCH(B91,Project_Register!$A$6:$A$40,0)))</f>
        <v/>
      </c>
      <c r="N91" s="40" t="str">
        <f aca="false">IF(OR(B91="",G91="",T91="On Hold"),"",G91-INDEX(Project_Register!$H$6:$H$40,MATCH(B91,Project_Register!$A$6:$A$40,0)))</f>
        <v/>
      </c>
      <c r="O91" s="0" t="str">
        <f aca="false">IF(B91="","",IF(D91="","No update",IF(AND(T91&lt;&gt;"Active",D91&lt;1),T91,IF(D91&gt;=1,"Complete",IF(OR(L91&lt;=SV_Red,M91&gt;Cost_Red,N91&gt;Slip_Red),"Red",IF(OR(L91&lt;=SV_Amber,M91&gt;Cost_Amber,N91&gt;Slip_Amber),"Amber","Green"))))))</f>
        <v/>
      </c>
      <c r="P91" s="0" t="str">
        <f aca="false">IF(AND(H91="Green",OR(O91="Amber",O91="Red")),"Watermelon","")</f>
        <v/>
      </c>
      <c r="Q91" s="0" t="str">
        <f aca="false">IF(B91="","",IF(J91="","Missing",IF(J91&gt;A91+UpdateDue,"Late","On time")))</f>
        <v/>
      </c>
      <c r="R91" s="0" t="str">
        <f aca="false">IF(OR(B91="",D91=""),"",IF(COUNTIFS($B$6:$B$400,B91,$A$6:$A$400,EOMONTH(A91,-1))=0,"",IF(D91&lt;SUMIFS($D$6:$D$400,$B$6:$B$400,B91,$A$6:$A$400,EOMONTH(A91,-1)),"Dropped","")))</f>
        <v/>
      </c>
      <c r="S91" s="41" t="str">
        <f aca="false">IF(B91="","",B91&amp;"|"&amp;(YEAR(A91)*100+MONTH(A91)))</f>
        <v/>
      </c>
    </row>
    <row r="92" customFormat="false" ht="15" hidden="false" customHeight="false" outlineLevel="0" collapsed="false">
      <c r="A92" s="37"/>
      <c r="C92" s="0" t="str">
        <f aca="false">IF(B92="","",IFERROR(INDEX(Project_Register!$B$6:$B$40,MATCH(B92,Project_Register!$A$6:$A$40,0)),"Unknown ID"))</f>
        <v/>
      </c>
      <c r="D92" s="38"/>
      <c r="E92" s="24"/>
      <c r="F92" s="24"/>
      <c r="G92" s="39"/>
      <c r="J92" s="39"/>
      <c r="K92" s="38" t="str">
        <f aca="false">IF(OR(B92="",T92="On Hold"),"",MAX(0,MIN(1,(A92-INDEX(Project_Register!$G$6:$G$40,MATCH(B92,Project_Register!$A$6:$A$40,0)))/(INDEX(Project_Register!$H$6:$H$40,MATCH(B92,Project_Register!$A$6:$A$40,0))-INDEX(Project_Register!$G$6:$G$40,MATCH(B92,Project_Register!$A$6:$A$40,0))))))</f>
        <v/>
      </c>
      <c r="L92" s="40" t="str">
        <f aca="false">IF(OR(B92="",D92="",T92="On Hold"),"",ROUND((D92-K92)*100,0))</f>
        <v/>
      </c>
      <c r="M92" s="38" t="str">
        <f aca="false">IF(OR(B92="",F92=""),"",F92/INDEX(Project_Register!$I$6:$I$40,MATCH(B92,Project_Register!$A$6:$A$40,0)))</f>
        <v/>
      </c>
      <c r="N92" s="40" t="str">
        <f aca="false">IF(OR(B92="",G92="",T92="On Hold"),"",G92-INDEX(Project_Register!$H$6:$H$40,MATCH(B92,Project_Register!$A$6:$A$40,0)))</f>
        <v/>
      </c>
      <c r="O92" s="0" t="str">
        <f aca="false">IF(B92="","",IF(D92="","No update",IF(AND(T92&lt;&gt;"Active",D92&lt;1),T92,IF(D92&gt;=1,"Complete",IF(OR(L92&lt;=SV_Red,M92&gt;Cost_Red,N92&gt;Slip_Red),"Red",IF(OR(L92&lt;=SV_Amber,M92&gt;Cost_Amber,N92&gt;Slip_Amber),"Amber","Green"))))))</f>
        <v/>
      </c>
      <c r="P92" s="0" t="str">
        <f aca="false">IF(AND(H92="Green",OR(O92="Amber",O92="Red")),"Watermelon","")</f>
        <v/>
      </c>
      <c r="Q92" s="0" t="str">
        <f aca="false">IF(B92="","",IF(J92="","Missing",IF(J92&gt;A92+UpdateDue,"Late","On time")))</f>
        <v/>
      </c>
      <c r="R92" s="0" t="str">
        <f aca="false">IF(OR(B92="",D92=""),"",IF(COUNTIFS($B$6:$B$400,B92,$A$6:$A$400,EOMONTH(A92,-1))=0,"",IF(D92&lt;SUMIFS($D$6:$D$400,$B$6:$B$400,B92,$A$6:$A$400,EOMONTH(A92,-1)),"Dropped","")))</f>
        <v/>
      </c>
      <c r="S92" s="41" t="str">
        <f aca="false">IF(B92="","",B92&amp;"|"&amp;(YEAR(A92)*100+MONTH(A92)))</f>
        <v/>
      </c>
    </row>
    <row r="93" customFormat="false" ht="15" hidden="false" customHeight="false" outlineLevel="0" collapsed="false">
      <c r="A93" s="37"/>
      <c r="C93" s="0" t="str">
        <f aca="false">IF(B93="","",IFERROR(INDEX(Project_Register!$B$6:$B$40,MATCH(B93,Project_Register!$A$6:$A$40,0)),"Unknown ID"))</f>
        <v/>
      </c>
      <c r="D93" s="38"/>
      <c r="E93" s="24"/>
      <c r="F93" s="24"/>
      <c r="G93" s="39"/>
      <c r="J93" s="39"/>
      <c r="K93" s="38" t="str">
        <f aca="false">IF(OR(B93="",T93="On Hold"),"",MAX(0,MIN(1,(A93-INDEX(Project_Register!$G$6:$G$40,MATCH(B93,Project_Register!$A$6:$A$40,0)))/(INDEX(Project_Register!$H$6:$H$40,MATCH(B93,Project_Register!$A$6:$A$40,0))-INDEX(Project_Register!$G$6:$G$40,MATCH(B93,Project_Register!$A$6:$A$40,0))))))</f>
        <v/>
      </c>
      <c r="L93" s="40" t="str">
        <f aca="false">IF(OR(B93="",D93="",T93="On Hold"),"",ROUND((D93-K93)*100,0))</f>
        <v/>
      </c>
      <c r="M93" s="38" t="str">
        <f aca="false">IF(OR(B93="",F93=""),"",F93/INDEX(Project_Register!$I$6:$I$40,MATCH(B93,Project_Register!$A$6:$A$40,0)))</f>
        <v/>
      </c>
      <c r="N93" s="40" t="str">
        <f aca="false">IF(OR(B93="",G93="",T93="On Hold"),"",G93-INDEX(Project_Register!$H$6:$H$40,MATCH(B93,Project_Register!$A$6:$A$40,0)))</f>
        <v/>
      </c>
      <c r="O93" s="0" t="str">
        <f aca="false">IF(B93="","",IF(D93="","No update",IF(AND(T93&lt;&gt;"Active",D93&lt;1),T93,IF(D93&gt;=1,"Complete",IF(OR(L93&lt;=SV_Red,M93&gt;Cost_Red,N93&gt;Slip_Red),"Red",IF(OR(L93&lt;=SV_Amber,M93&gt;Cost_Amber,N93&gt;Slip_Amber),"Amber","Green"))))))</f>
        <v/>
      </c>
      <c r="P93" s="0" t="str">
        <f aca="false">IF(AND(H93="Green",OR(O93="Amber",O93="Red")),"Watermelon","")</f>
        <v/>
      </c>
      <c r="Q93" s="0" t="str">
        <f aca="false">IF(B93="","",IF(J93="","Missing",IF(J93&gt;A93+UpdateDue,"Late","On time")))</f>
        <v/>
      </c>
      <c r="R93" s="0" t="str">
        <f aca="false">IF(OR(B93="",D93=""),"",IF(COUNTIFS($B$6:$B$400,B93,$A$6:$A$400,EOMONTH(A93,-1))=0,"",IF(D93&lt;SUMIFS($D$6:$D$400,$B$6:$B$400,B93,$A$6:$A$400,EOMONTH(A93,-1)),"Dropped","")))</f>
        <v/>
      </c>
      <c r="S93" s="41" t="str">
        <f aca="false">IF(B93="","",B93&amp;"|"&amp;(YEAR(A93)*100+MONTH(A93)))</f>
        <v/>
      </c>
    </row>
    <row r="94" customFormat="false" ht="15" hidden="false" customHeight="false" outlineLevel="0" collapsed="false">
      <c r="A94" s="37"/>
      <c r="C94" s="0" t="str">
        <f aca="false">IF(B94="","",IFERROR(INDEX(Project_Register!$B$6:$B$40,MATCH(B94,Project_Register!$A$6:$A$40,0)),"Unknown ID"))</f>
        <v/>
      </c>
      <c r="D94" s="38"/>
      <c r="E94" s="24"/>
      <c r="F94" s="24"/>
      <c r="G94" s="39"/>
      <c r="J94" s="39"/>
      <c r="K94" s="38" t="str">
        <f aca="false">IF(OR(B94="",T94="On Hold"),"",MAX(0,MIN(1,(A94-INDEX(Project_Register!$G$6:$G$40,MATCH(B94,Project_Register!$A$6:$A$40,0)))/(INDEX(Project_Register!$H$6:$H$40,MATCH(B94,Project_Register!$A$6:$A$40,0))-INDEX(Project_Register!$G$6:$G$40,MATCH(B94,Project_Register!$A$6:$A$40,0))))))</f>
        <v/>
      </c>
      <c r="L94" s="40" t="str">
        <f aca="false">IF(OR(B94="",D94="",T94="On Hold"),"",ROUND((D94-K94)*100,0))</f>
        <v/>
      </c>
      <c r="M94" s="38" t="str">
        <f aca="false">IF(OR(B94="",F94=""),"",F94/INDEX(Project_Register!$I$6:$I$40,MATCH(B94,Project_Register!$A$6:$A$40,0)))</f>
        <v/>
      </c>
      <c r="N94" s="40" t="str">
        <f aca="false">IF(OR(B94="",G94="",T94="On Hold"),"",G94-INDEX(Project_Register!$H$6:$H$40,MATCH(B94,Project_Register!$A$6:$A$40,0)))</f>
        <v/>
      </c>
      <c r="O94" s="0" t="str">
        <f aca="false">IF(B94="","",IF(D94="","No update",IF(AND(T94&lt;&gt;"Active",D94&lt;1),T94,IF(D94&gt;=1,"Complete",IF(OR(L94&lt;=SV_Red,M94&gt;Cost_Red,N94&gt;Slip_Red),"Red",IF(OR(L94&lt;=SV_Amber,M94&gt;Cost_Amber,N94&gt;Slip_Amber),"Amber","Green"))))))</f>
        <v/>
      </c>
      <c r="P94" s="0" t="str">
        <f aca="false">IF(AND(H94="Green",OR(O94="Amber",O94="Red")),"Watermelon","")</f>
        <v/>
      </c>
      <c r="Q94" s="0" t="str">
        <f aca="false">IF(B94="","",IF(J94="","Missing",IF(J94&gt;A94+UpdateDue,"Late","On time")))</f>
        <v/>
      </c>
      <c r="R94" s="0" t="str">
        <f aca="false">IF(OR(B94="",D94=""),"",IF(COUNTIFS($B$6:$B$400,B94,$A$6:$A$400,EOMONTH(A94,-1))=0,"",IF(D94&lt;SUMIFS($D$6:$D$400,$B$6:$B$400,B94,$A$6:$A$400,EOMONTH(A94,-1)),"Dropped","")))</f>
        <v/>
      </c>
      <c r="S94" s="41" t="str">
        <f aca="false">IF(B94="","",B94&amp;"|"&amp;(YEAR(A94)*100+MONTH(A94)))</f>
        <v/>
      </c>
    </row>
    <row r="95" customFormat="false" ht="15" hidden="false" customHeight="false" outlineLevel="0" collapsed="false">
      <c r="A95" s="37"/>
      <c r="C95" s="0" t="str">
        <f aca="false">IF(B95="","",IFERROR(INDEX(Project_Register!$B$6:$B$40,MATCH(B95,Project_Register!$A$6:$A$40,0)),"Unknown ID"))</f>
        <v/>
      </c>
      <c r="D95" s="38"/>
      <c r="E95" s="24"/>
      <c r="F95" s="24"/>
      <c r="G95" s="39"/>
      <c r="J95" s="39"/>
      <c r="K95" s="38" t="str">
        <f aca="false">IF(OR(B95="",T95="On Hold"),"",MAX(0,MIN(1,(A95-INDEX(Project_Register!$G$6:$G$40,MATCH(B95,Project_Register!$A$6:$A$40,0)))/(INDEX(Project_Register!$H$6:$H$40,MATCH(B95,Project_Register!$A$6:$A$40,0))-INDEX(Project_Register!$G$6:$G$40,MATCH(B95,Project_Register!$A$6:$A$40,0))))))</f>
        <v/>
      </c>
      <c r="L95" s="40" t="str">
        <f aca="false">IF(OR(B95="",D95="",T95="On Hold"),"",ROUND((D95-K95)*100,0))</f>
        <v/>
      </c>
      <c r="M95" s="38" t="str">
        <f aca="false">IF(OR(B95="",F95=""),"",F95/INDEX(Project_Register!$I$6:$I$40,MATCH(B95,Project_Register!$A$6:$A$40,0)))</f>
        <v/>
      </c>
      <c r="N95" s="40" t="str">
        <f aca="false">IF(OR(B95="",G95="",T95="On Hold"),"",G95-INDEX(Project_Register!$H$6:$H$40,MATCH(B95,Project_Register!$A$6:$A$40,0)))</f>
        <v/>
      </c>
      <c r="O95" s="0" t="str">
        <f aca="false">IF(B95="","",IF(D95="","No update",IF(AND(T95&lt;&gt;"Active",D95&lt;1),T95,IF(D95&gt;=1,"Complete",IF(OR(L95&lt;=SV_Red,M95&gt;Cost_Red,N95&gt;Slip_Red),"Red",IF(OR(L95&lt;=SV_Amber,M95&gt;Cost_Amber,N95&gt;Slip_Amber),"Amber","Green"))))))</f>
        <v/>
      </c>
      <c r="P95" s="0" t="str">
        <f aca="false">IF(AND(H95="Green",OR(O95="Amber",O95="Red")),"Watermelon","")</f>
        <v/>
      </c>
      <c r="Q95" s="0" t="str">
        <f aca="false">IF(B95="","",IF(J95="","Missing",IF(J95&gt;A95+UpdateDue,"Late","On time")))</f>
        <v/>
      </c>
      <c r="R95" s="0" t="str">
        <f aca="false">IF(OR(B95="",D95=""),"",IF(COUNTIFS($B$6:$B$400,B95,$A$6:$A$400,EOMONTH(A95,-1))=0,"",IF(D95&lt;SUMIFS($D$6:$D$400,$B$6:$B$400,B95,$A$6:$A$400,EOMONTH(A95,-1)),"Dropped","")))</f>
        <v/>
      </c>
      <c r="S95" s="41" t="str">
        <f aca="false">IF(B95="","",B95&amp;"|"&amp;(YEAR(A95)*100+MONTH(A95)))</f>
        <v/>
      </c>
    </row>
    <row r="96" customFormat="false" ht="15" hidden="false" customHeight="false" outlineLevel="0" collapsed="false">
      <c r="A96" s="37"/>
      <c r="C96" s="0" t="str">
        <f aca="false">IF(B96="","",IFERROR(INDEX(Project_Register!$B$6:$B$40,MATCH(B96,Project_Register!$A$6:$A$40,0)),"Unknown ID"))</f>
        <v/>
      </c>
      <c r="D96" s="38"/>
      <c r="E96" s="24"/>
      <c r="F96" s="24"/>
      <c r="G96" s="39"/>
      <c r="J96" s="39"/>
      <c r="K96" s="38" t="str">
        <f aca="false">IF(OR(B96="",T96="On Hold"),"",MAX(0,MIN(1,(A96-INDEX(Project_Register!$G$6:$G$40,MATCH(B96,Project_Register!$A$6:$A$40,0)))/(INDEX(Project_Register!$H$6:$H$40,MATCH(B96,Project_Register!$A$6:$A$40,0))-INDEX(Project_Register!$G$6:$G$40,MATCH(B96,Project_Register!$A$6:$A$40,0))))))</f>
        <v/>
      </c>
      <c r="L96" s="40" t="str">
        <f aca="false">IF(OR(B96="",D96="",T96="On Hold"),"",ROUND((D96-K96)*100,0))</f>
        <v/>
      </c>
      <c r="M96" s="38" t="str">
        <f aca="false">IF(OR(B96="",F96=""),"",F96/INDEX(Project_Register!$I$6:$I$40,MATCH(B96,Project_Register!$A$6:$A$40,0)))</f>
        <v/>
      </c>
      <c r="N96" s="40" t="str">
        <f aca="false">IF(OR(B96="",G96="",T96="On Hold"),"",G96-INDEX(Project_Register!$H$6:$H$40,MATCH(B96,Project_Register!$A$6:$A$40,0)))</f>
        <v/>
      </c>
      <c r="O96" s="0" t="str">
        <f aca="false">IF(B96="","",IF(D96="","No update",IF(AND(T96&lt;&gt;"Active",D96&lt;1),T96,IF(D96&gt;=1,"Complete",IF(OR(L96&lt;=SV_Red,M96&gt;Cost_Red,N96&gt;Slip_Red),"Red",IF(OR(L96&lt;=SV_Amber,M96&gt;Cost_Amber,N96&gt;Slip_Amber),"Amber","Green"))))))</f>
        <v/>
      </c>
      <c r="P96" s="0" t="str">
        <f aca="false">IF(AND(H96="Green",OR(O96="Amber",O96="Red")),"Watermelon","")</f>
        <v/>
      </c>
      <c r="Q96" s="0" t="str">
        <f aca="false">IF(B96="","",IF(J96="","Missing",IF(J96&gt;A96+UpdateDue,"Late","On time")))</f>
        <v/>
      </c>
      <c r="R96" s="0" t="str">
        <f aca="false">IF(OR(B96="",D96=""),"",IF(COUNTIFS($B$6:$B$400,B96,$A$6:$A$400,EOMONTH(A96,-1))=0,"",IF(D96&lt;SUMIFS($D$6:$D$400,$B$6:$B$400,B96,$A$6:$A$400,EOMONTH(A96,-1)),"Dropped","")))</f>
        <v/>
      </c>
      <c r="S96" s="41" t="str">
        <f aca="false">IF(B96="","",B96&amp;"|"&amp;(YEAR(A96)*100+MONTH(A96)))</f>
        <v/>
      </c>
    </row>
    <row r="97" customFormat="false" ht="15" hidden="false" customHeight="false" outlineLevel="0" collapsed="false">
      <c r="A97" s="37"/>
      <c r="C97" s="0" t="str">
        <f aca="false">IF(B97="","",IFERROR(INDEX(Project_Register!$B$6:$B$40,MATCH(B97,Project_Register!$A$6:$A$40,0)),"Unknown ID"))</f>
        <v/>
      </c>
      <c r="D97" s="38"/>
      <c r="E97" s="24"/>
      <c r="F97" s="24"/>
      <c r="G97" s="39"/>
      <c r="J97" s="39"/>
      <c r="K97" s="38" t="str">
        <f aca="false">IF(OR(B97="",T97="On Hold"),"",MAX(0,MIN(1,(A97-INDEX(Project_Register!$G$6:$G$40,MATCH(B97,Project_Register!$A$6:$A$40,0)))/(INDEX(Project_Register!$H$6:$H$40,MATCH(B97,Project_Register!$A$6:$A$40,0))-INDEX(Project_Register!$G$6:$G$40,MATCH(B97,Project_Register!$A$6:$A$40,0))))))</f>
        <v/>
      </c>
      <c r="L97" s="40" t="str">
        <f aca="false">IF(OR(B97="",D97="",T97="On Hold"),"",ROUND((D97-K97)*100,0))</f>
        <v/>
      </c>
      <c r="M97" s="38" t="str">
        <f aca="false">IF(OR(B97="",F97=""),"",F97/INDEX(Project_Register!$I$6:$I$40,MATCH(B97,Project_Register!$A$6:$A$40,0)))</f>
        <v/>
      </c>
      <c r="N97" s="40" t="str">
        <f aca="false">IF(OR(B97="",G97="",T97="On Hold"),"",G97-INDEX(Project_Register!$H$6:$H$40,MATCH(B97,Project_Register!$A$6:$A$40,0)))</f>
        <v/>
      </c>
      <c r="O97" s="0" t="str">
        <f aca="false">IF(B97="","",IF(D97="","No update",IF(AND(T97&lt;&gt;"Active",D97&lt;1),T97,IF(D97&gt;=1,"Complete",IF(OR(L97&lt;=SV_Red,M97&gt;Cost_Red,N97&gt;Slip_Red),"Red",IF(OR(L97&lt;=SV_Amber,M97&gt;Cost_Amber,N97&gt;Slip_Amber),"Amber","Green"))))))</f>
        <v/>
      </c>
      <c r="P97" s="0" t="str">
        <f aca="false">IF(AND(H97="Green",OR(O97="Amber",O97="Red")),"Watermelon","")</f>
        <v/>
      </c>
      <c r="Q97" s="0" t="str">
        <f aca="false">IF(B97="","",IF(J97="","Missing",IF(J97&gt;A97+UpdateDue,"Late","On time")))</f>
        <v/>
      </c>
      <c r="R97" s="0" t="str">
        <f aca="false">IF(OR(B97="",D97=""),"",IF(COUNTIFS($B$6:$B$400,B97,$A$6:$A$400,EOMONTH(A97,-1))=0,"",IF(D97&lt;SUMIFS($D$6:$D$400,$B$6:$B$400,B97,$A$6:$A$400,EOMONTH(A97,-1)),"Dropped","")))</f>
        <v/>
      </c>
      <c r="S97" s="41" t="str">
        <f aca="false">IF(B97="","",B97&amp;"|"&amp;(YEAR(A97)*100+MONTH(A97)))</f>
        <v/>
      </c>
    </row>
    <row r="98" customFormat="false" ht="15" hidden="false" customHeight="false" outlineLevel="0" collapsed="false">
      <c r="A98" s="37"/>
      <c r="C98" s="0" t="str">
        <f aca="false">IF(B98="","",IFERROR(INDEX(Project_Register!$B$6:$B$40,MATCH(B98,Project_Register!$A$6:$A$40,0)),"Unknown ID"))</f>
        <v/>
      </c>
      <c r="D98" s="38"/>
      <c r="E98" s="24"/>
      <c r="F98" s="24"/>
      <c r="G98" s="39"/>
      <c r="J98" s="39"/>
      <c r="K98" s="38" t="str">
        <f aca="false">IF(OR(B98="",T98="On Hold"),"",MAX(0,MIN(1,(A98-INDEX(Project_Register!$G$6:$G$40,MATCH(B98,Project_Register!$A$6:$A$40,0)))/(INDEX(Project_Register!$H$6:$H$40,MATCH(B98,Project_Register!$A$6:$A$40,0))-INDEX(Project_Register!$G$6:$G$40,MATCH(B98,Project_Register!$A$6:$A$40,0))))))</f>
        <v/>
      </c>
      <c r="L98" s="40" t="str">
        <f aca="false">IF(OR(B98="",D98="",T98="On Hold"),"",ROUND((D98-K98)*100,0))</f>
        <v/>
      </c>
      <c r="M98" s="38" t="str">
        <f aca="false">IF(OR(B98="",F98=""),"",F98/INDEX(Project_Register!$I$6:$I$40,MATCH(B98,Project_Register!$A$6:$A$40,0)))</f>
        <v/>
      </c>
      <c r="N98" s="40" t="str">
        <f aca="false">IF(OR(B98="",G98="",T98="On Hold"),"",G98-INDEX(Project_Register!$H$6:$H$40,MATCH(B98,Project_Register!$A$6:$A$40,0)))</f>
        <v/>
      </c>
      <c r="O98" s="0" t="str">
        <f aca="false">IF(B98="","",IF(D98="","No update",IF(AND(T98&lt;&gt;"Active",D98&lt;1),T98,IF(D98&gt;=1,"Complete",IF(OR(L98&lt;=SV_Red,M98&gt;Cost_Red,N98&gt;Slip_Red),"Red",IF(OR(L98&lt;=SV_Amber,M98&gt;Cost_Amber,N98&gt;Slip_Amber),"Amber","Green"))))))</f>
        <v/>
      </c>
      <c r="P98" s="0" t="str">
        <f aca="false">IF(AND(H98="Green",OR(O98="Amber",O98="Red")),"Watermelon","")</f>
        <v/>
      </c>
      <c r="Q98" s="0" t="str">
        <f aca="false">IF(B98="","",IF(J98="","Missing",IF(J98&gt;A98+UpdateDue,"Late","On time")))</f>
        <v/>
      </c>
      <c r="R98" s="0" t="str">
        <f aca="false">IF(OR(B98="",D98=""),"",IF(COUNTIFS($B$6:$B$400,B98,$A$6:$A$400,EOMONTH(A98,-1))=0,"",IF(D98&lt;SUMIFS($D$6:$D$400,$B$6:$B$400,B98,$A$6:$A$400,EOMONTH(A98,-1)),"Dropped","")))</f>
        <v/>
      </c>
      <c r="S98" s="41" t="str">
        <f aca="false">IF(B98="","",B98&amp;"|"&amp;(YEAR(A98)*100+MONTH(A98)))</f>
        <v/>
      </c>
    </row>
    <row r="99" customFormat="false" ht="15" hidden="false" customHeight="false" outlineLevel="0" collapsed="false">
      <c r="A99" s="37"/>
      <c r="C99" s="0" t="str">
        <f aca="false">IF(B99="","",IFERROR(INDEX(Project_Register!$B$6:$B$40,MATCH(B99,Project_Register!$A$6:$A$40,0)),"Unknown ID"))</f>
        <v/>
      </c>
      <c r="D99" s="38"/>
      <c r="E99" s="24"/>
      <c r="F99" s="24"/>
      <c r="G99" s="39"/>
      <c r="J99" s="39"/>
      <c r="K99" s="38" t="str">
        <f aca="false">IF(OR(B99="",T99="On Hold"),"",MAX(0,MIN(1,(A99-INDEX(Project_Register!$G$6:$G$40,MATCH(B99,Project_Register!$A$6:$A$40,0)))/(INDEX(Project_Register!$H$6:$H$40,MATCH(B99,Project_Register!$A$6:$A$40,0))-INDEX(Project_Register!$G$6:$G$40,MATCH(B99,Project_Register!$A$6:$A$40,0))))))</f>
        <v/>
      </c>
      <c r="L99" s="40" t="str">
        <f aca="false">IF(OR(B99="",D99="",T99="On Hold"),"",ROUND((D99-K99)*100,0))</f>
        <v/>
      </c>
      <c r="M99" s="38" t="str">
        <f aca="false">IF(OR(B99="",F99=""),"",F99/INDEX(Project_Register!$I$6:$I$40,MATCH(B99,Project_Register!$A$6:$A$40,0)))</f>
        <v/>
      </c>
      <c r="N99" s="40" t="str">
        <f aca="false">IF(OR(B99="",G99="",T99="On Hold"),"",G99-INDEX(Project_Register!$H$6:$H$40,MATCH(B99,Project_Register!$A$6:$A$40,0)))</f>
        <v/>
      </c>
      <c r="O99" s="0" t="str">
        <f aca="false">IF(B99="","",IF(D99="","No update",IF(AND(T99&lt;&gt;"Active",D99&lt;1),T99,IF(D99&gt;=1,"Complete",IF(OR(L99&lt;=SV_Red,M99&gt;Cost_Red,N99&gt;Slip_Red),"Red",IF(OR(L99&lt;=SV_Amber,M99&gt;Cost_Amber,N99&gt;Slip_Amber),"Amber","Green"))))))</f>
        <v/>
      </c>
      <c r="P99" s="0" t="str">
        <f aca="false">IF(AND(H99="Green",OR(O99="Amber",O99="Red")),"Watermelon","")</f>
        <v/>
      </c>
      <c r="Q99" s="0" t="str">
        <f aca="false">IF(B99="","",IF(J99="","Missing",IF(J99&gt;A99+UpdateDue,"Late","On time")))</f>
        <v/>
      </c>
      <c r="R99" s="0" t="str">
        <f aca="false">IF(OR(B99="",D99=""),"",IF(COUNTIFS($B$6:$B$400,B99,$A$6:$A$400,EOMONTH(A99,-1))=0,"",IF(D99&lt;SUMIFS($D$6:$D$400,$B$6:$B$400,B99,$A$6:$A$400,EOMONTH(A99,-1)),"Dropped","")))</f>
        <v/>
      </c>
      <c r="S99" s="41" t="str">
        <f aca="false">IF(B99="","",B99&amp;"|"&amp;(YEAR(A99)*100+MONTH(A99)))</f>
        <v/>
      </c>
    </row>
    <row r="100" customFormat="false" ht="15" hidden="false" customHeight="false" outlineLevel="0" collapsed="false">
      <c r="A100" s="37"/>
      <c r="C100" s="0" t="str">
        <f aca="false">IF(B100="","",IFERROR(INDEX(Project_Register!$B$6:$B$40,MATCH(B100,Project_Register!$A$6:$A$40,0)),"Unknown ID"))</f>
        <v/>
      </c>
      <c r="D100" s="38"/>
      <c r="E100" s="24"/>
      <c r="F100" s="24"/>
      <c r="G100" s="39"/>
      <c r="J100" s="39"/>
      <c r="K100" s="38" t="str">
        <f aca="false">IF(OR(B100="",T100="On Hold"),"",MAX(0,MIN(1,(A100-INDEX(Project_Register!$G$6:$G$40,MATCH(B100,Project_Register!$A$6:$A$40,0)))/(INDEX(Project_Register!$H$6:$H$40,MATCH(B100,Project_Register!$A$6:$A$40,0))-INDEX(Project_Register!$G$6:$G$40,MATCH(B100,Project_Register!$A$6:$A$40,0))))))</f>
        <v/>
      </c>
      <c r="L100" s="40" t="str">
        <f aca="false">IF(OR(B100="",D100="",T100="On Hold"),"",ROUND((D100-K100)*100,0))</f>
        <v/>
      </c>
      <c r="M100" s="38" t="str">
        <f aca="false">IF(OR(B100="",F100=""),"",F100/INDEX(Project_Register!$I$6:$I$40,MATCH(B100,Project_Register!$A$6:$A$40,0)))</f>
        <v/>
      </c>
      <c r="N100" s="40" t="str">
        <f aca="false">IF(OR(B100="",G100="",T100="On Hold"),"",G100-INDEX(Project_Register!$H$6:$H$40,MATCH(B100,Project_Register!$A$6:$A$40,0)))</f>
        <v/>
      </c>
      <c r="O100" s="0" t="str">
        <f aca="false">IF(B100="","",IF(D100="","No update",IF(AND(T100&lt;&gt;"Active",D100&lt;1),T100,IF(D100&gt;=1,"Complete",IF(OR(L100&lt;=SV_Red,M100&gt;Cost_Red,N100&gt;Slip_Red),"Red",IF(OR(L100&lt;=SV_Amber,M100&gt;Cost_Amber,N100&gt;Slip_Amber),"Amber","Green"))))))</f>
        <v/>
      </c>
      <c r="P100" s="0" t="str">
        <f aca="false">IF(AND(H100="Green",OR(O100="Amber",O100="Red")),"Watermelon","")</f>
        <v/>
      </c>
      <c r="Q100" s="0" t="str">
        <f aca="false">IF(B100="","",IF(J100="","Missing",IF(J100&gt;A100+UpdateDue,"Late","On time")))</f>
        <v/>
      </c>
      <c r="R100" s="0" t="str">
        <f aca="false">IF(OR(B100="",D100=""),"",IF(COUNTIFS($B$6:$B$400,B100,$A$6:$A$400,EOMONTH(A100,-1))=0,"",IF(D100&lt;SUMIFS($D$6:$D$400,$B$6:$B$400,B100,$A$6:$A$400,EOMONTH(A100,-1)),"Dropped","")))</f>
        <v/>
      </c>
      <c r="S100" s="41" t="str">
        <f aca="false">IF(B100="","",B100&amp;"|"&amp;(YEAR(A100)*100+MONTH(A100)))</f>
        <v/>
      </c>
    </row>
    <row r="101" customFormat="false" ht="15" hidden="false" customHeight="false" outlineLevel="0" collapsed="false">
      <c r="A101" s="37"/>
      <c r="C101" s="0" t="str">
        <f aca="false">IF(B101="","",IFERROR(INDEX(Project_Register!$B$6:$B$40,MATCH(B101,Project_Register!$A$6:$A$40,0)),"Unknown ID"))</f>
        <v/>
      </c>
      <c r="D101" s="38"/>
      <c r="E101" s="24"/>
      <c r="F101" s="24"/>
      <c r="G101" s="39"/>
      <c r="J101" s="39"/>
      <c r="K101" s="38" t="str">
        <f aca="false">IF(OR(B101="",T101="On Hold"),"",MAX(0,MIN(1,(A101-INDEX(Project_Register!$G$6:$G$40,MATCH(B101,Project_Register!$A$6:$A$40,0)))/(INDEX(Project_Register!$H$6:$H$40,MATCH(B101,Project_Register!$A$6:$A$40,0))-INDEX(Project_Register!$G$6:$G$40,MATCH(B101,Project_Register!$A$6:$A$40,0))))))</f>
        <v/>
      </c>
      <c r="L101" s="40" t="str">
        <f aca="false">IF(OR(B101="",D101="",T101="On Hold"),"",ROUND((D101-K101)*100,0))</f>
        <v/>
      </c>
      <c r="M101" s="38" t="str">
        <f aca="false">IF(OR(B101="",F101=""),"",F101/INDEX(Project_Register!$I$6:$I$40,MATCH(B101,Project_Register!$A$6:$A$40,0)))</f>
        <v/>
      </c>
      <c r="N101" s="40" t="str">
        <f aca="false">IF(OR(B101="",G101="",T101="On Hold"),"",G101-INDEX(Project_Register!$H$6:$H$40,MATCH(B101,Project_Register!$A$6:$A$40,0)))</f>
        <v/>
      </c>
      <c r="O101" s="0" t="str">
        <f aca="false">IF(B101="","",IF(D101="","No update",IF(AND(T101&lt;&gt;"Active",D101&lt;1),T101,IF(D101&gt;=1,"Complete",IF(OR(L101&lt;=SV_Red,M101&gt;Cost_Red,N101&gt;Slip_Red),"Red",IF(OR(L101&lt;=SV_Amber,M101&gt;Cost_Amber,N101&gt;Slip_Amber),"Amber","Green"))))))</f>
        <v/>
      </c>
      <c r="P101" s="0" t="str">
        <f aca="false">IF(AND(H101="Green",OR(O101="Amber",O101="Red")),"Watermelon","")</f>
        <v/>
      </c>
      <c r="Q101" s="0" t="str">
        <f aca="false">IF(B101="","",IF(J101="","Missing",IF(J101&gt;A101+UpdateDue,"Late","On time")))</f>
        <v/>
      </c>
      <c r="R101" s="0" t="str">
        <f aca="false">IF(OR(B101="",D101=""),"",IF(COUNTIFS($B$6:$B$400,B101,$A$6:$A$400,EOMONTH(A101,-1))=0,"",IF(D101&lt;SUMIFS($D$6:$D$400,$B$6:$B$400,B101,$A$6:$A$400,EOMONTH(A101,-1)),"Dropped","")))</f>
        <v/>
      </c>
      <c r="S101" s="41" t="str">
        <f aca="false">IF(B101="","",B101&amp;"|"&amp;(YEAR(A101)*100+MONTH(A101)))</f>
        <v/>
      </c>
    </row>
    <row r="102" customFormat="false" ht="15" hidden="false" customHeight="false" outlineLevel="0" collapsed="false">
      <c r="A102" s="37"/>
      <c r="C102" s="0" t="str">
        <f aca="false">IF(B102="","",IFERROR(INDEX(Project_Register!$B$6:$B$40,MATCH(B102,Project_Register!$A$6:$A$40,0)),"Unknown ID"))</f>
        <v/>
      </c>
      <c r="D102" s="38"/>
      <c r="E102" s="24"/>
      <c r="F102" s="24"/>
      <c r="G102" s="39"/>
      <c r="J102" s="39"/>
      <c r="K102" s="38" t="str">
        <f aca="false">IF(OR(B102="",T102="On Hold"),"",MAX(0,MIN(1,(A102-INDEX(Project_Register!$G$6:$G$40,MATCH(B102,Project_Register!$A$6:$A$40,0)))/(INDEX(Project_Register!$H$6:$H$40,MATCH(B102,Project_Register!$A$6:$A$40,0))-INDEX(Project_Register!$G$6:$G$40,MATCH(B102,Project_Register!$A$6:$A$40,0))))))</f>
        <v/>
      </c>
      <c r="L102" s="40" t="str">
        <f aca="false">IF(OR(B102="",D102="",T102="On Hold"),"",ROUND((D102-K102)*100,0))</f>
        <v/>
      </c>
      <c r="M102" s="38" t="str">
        <f aca="false">IF(OR(B102="",F102=""),"",F102/INDEX(Project_Register!$I$6:$I$40,MATCH(B102,Project_Register!$A$6:$A$40,0)))</f>
        <v/>
      </c>
      <c r="N102" s="40" t="str">
        <f aca="false">IF(OR(B102="",G102="",T102="On Hold"),"",G102-INDEX(Project_Register!$H$6:$H$40,MATCH(B102,Project_Register!$A$6:$A$40,0)))</f>
        <v/>
      </c>
      <c r="O102" s="0" t="str">
        <f aca="false">IF(B102="","",IF(D102="","No update",IF(AND(T102&lt;&gt;"Active",D102&lt;1),T102,IF(D102&gt;=1,"Complete",IF(OR(L102&lt;=SV_Red,M102&gt;Cost_Red,N102&gt;Slip_Red),"Red",IF(OR(L102&lt;=SV_Amber,M102&gt;Cost_Amber,N102&gt;Slip_Amber),"Amber","Green"))))))</f>
        <v/>
      </c>
      <c r="P102" s="0" t="str">
        <f aca="false">IF(AND(H102="Green",OR(O102="Amber",O102="Red")),"Watermelon","")</f>
        <v/>
      </c>
      <c r="Q102" s="0" t="str">
        <f aca="false">IF(B102="","",IF(J102="","Missing",IF(J102&gt;A102+UpdateDue,"Late","On time")))</f>
        <v/>
      </c>
      <c r="R102" s="0" t="str">
        <f aca="false">IF(OR(B102="",D102=""),"",IF(COUNTIFS($B$6:$B$400,B102,$A$6:$A$400,EOMONTH(A102,-1))=0,"",IF(D102&lt;SUMIFS($D$6:$D$400,$B$6:$B$400,B102,$A$6:$A$400,EOMONTH(A102,-1)),"Dropped","")))</f>
        <v/>
      </c>
      <c r="S102" s="41" t="str">
        <f aca="false">IF(B102="","",B102&amp;"|"&amp;(YEAR(A102)*100+MONTH(A102)))</f>
        <v/>
      </c>
    </row>
    <row r="103" customFormat="false" ht="15" hidden="false" customHeight="false" outlineLevel="0" collapsed="false">
      <c r="A103" s="37"/>
      <c r="C103" s="0" t="str">
        <f aca="false">IF(B103="","",IFERROR(INDEX(Project_Register!$B$6:$B$40,MATCH(B103,Project_Register!$A$6:$A$40,0)),"Unknown ID"))</f>
        <v/>
      </c>
      <c r="D103" s="38"/>
      <c r="E103" s="24"/>
      <c r="F103" s="24"/>
      <c r="G103" s="39"/>
      <c r="J103" s="39"/>
      <c r="K103" s="38" t="str">
        <f aca="false">IF(OR(B103="",T103="On Hold"),"",MAX(0,MIN(1,(A103-INDEX(Project_Register!$G$6:$G$40,MATCH(B103,Project_Register!$A$6:$A$40,0)))/(INDEX(Project_Register!$H$6:$H$40,MATCH(B103,Project_Register!$A$6:$A$40,0))-INDEX(Project_Register!$G$6:$G$40,MATCH(B103,Project_Register!$A$6:$A$40,0))))))</f>
        <v/>
      </c>
      <c r="L103" s="40" t="str">
        <f aca="false">IF(OR(B103="",D103="",T103="On Hold"),"",ROUND((D103-K103)*100,0))</f>
        <v/>
      </c>
      <c r="M103" s="38" t="str">
        <f aca="false">IF(OR(B103="",F103=""),"",F103/INDEX(Project_Register!$I$6:$I$40,MATCH(B103,Project_Register!$A$6:$A$40,0)))</f>
        <v/>
      </c>
      <c r="N103" s="40" t="str">
        <f aca="false">IF(OR(B103="",G103="",T103="On Hold"),"",G103-INDEX(Project_Register!$H$6:$H$40,MATCH(B103,Project_Register!$A$6:$A$40,0)))</f>
        <v/>
      </c>
      <c r="O103" s="0" t="str">
        <f aca="false">IF(B103="","",IF(D103="","No update",IF(AND(T103&lt;&gt;"Active",D103&lt;1),T103,IF(D103&gt;=1,"Complete",IF(OR(L103&lt;=SV_Red,M103&gt;Cost_Red,N103&gt;Slip_Red),"Red",IF(OR(L103&lt;=SV_Amber,M103&gt;Cost_Amber,N103&gt;Slip_Amber),"Amber","Green"))))))</f>
        <v/>
      </c>
      <c r="P103" s="0" t="str">
        <f aca="false">IF(AND(H103="Green",OR(O103="Amber",O103="Red")),"Watermelon","")</f>
        <v/>
      </c>
      <c r="Q103" s="0" t="str">
        <f aca="false">IF(B103="","",IF(J103="","Missing",IF(J103&gt;A103+UpdateDue,"Late","On time")))</f>
        <v/>
      </c>
      <c r="R103" s="0" t="str">
        <f aca="false">IF(OR(B103="",D103=""),"",IF(COUNTIFS($B$6:$B$400,B103,$A$6:$A$400,EOMONTH(A103,-1))=0,"",IF(D103&lt;SUMIFS($D$6:$D$400,$B$6:$B$400,B103,$A$6:$A$400,EOMONTH(A103,-1)),"Dropped","")))</f>
        <v/>
      </c>
      <c r="S103" s="41" t="str">
        <f aca="false">IF(B103="","",B103&amp;"|"&amp;(YEAR(A103)*100+MONTH(A103)))</f>
        <v/>
      </c>
    </row>
    <row r="104" customFormat="false" ht="15" hidden="false" customHeight="false" outlineLevel="0" collapsed="false">
      <c r="A104" s="37"/>
      <c r="C104" s="0" t="str">
        <f aca="false">IF(B104="","",IFERROR(INDEX(Project_Register!$B$6:$B$40,MATCH(B104,Project_Register!$A$6:$A$40,0)),"Unknown ID"))</f>
        <v/>
      </c>
      <c r="D104" s="38"/>
      <c r="E104" s="24"/>
      <c r="F104" s="24"/>
      <c r="G104" s="39"/>
      <c r="J104" s="39"/>
      <c r="K104" s="38" t="str">
        <f aca="false">IF(OR(B104="",T104="On Hold"),"",MAX(0,MIN(1,(A104-INDEX(Project_Register!$G$6:$G$40,MATCH(B104,Project_Register!$A$6:$A$40,0)))/(INDEX(Project_Register!$H$6:$H$40,MATCH(B104,Project_Register!$A$6:$A$40,0))-INDEX(Project_Register!$G$6:$G$40,MATCH(B104,Project_Register!$A$6:$A$40,0))))))</f>
        <v/>
      </c>
      <c r="L104" s="40" t="str">
        <f aca="false">IF(OR(B104="",D104="",T104="On Hold"),"",ROUND((D104-K104)*100,0))</f>
        <v/>
      </c>
      <c r="M104" s="38" t="str">
        <f aca="false">IF(OR(B104="",F104=""),"",F104/INDEX(Project_Register!$I$6:$I$40,MATCH(B104,Project_Register!$A$6:$A$40,0)))</f>
        <v/>
      </c>
      <c r="N104" s="40" t="str">
        <f aca="false">IF(OR(B104="",G104="",T104="On Hold"),"",G104-INDEX(Project_Register!$H$6:$H$40,MATCH(B104,Project_Register!$A$6:$A$40,0)))</f>
        <v/>
      </c>
      <c r="O104" s="0" t="str">
        <f aca="false">IF(B104="","",IF(D104="","No update",IF(AND(T104&lt;&gt;"Active",D104&lt;1),T104,IF(D104&gt;=1,"Complete",IF(OR(L104&lt;=SV_Red,M104&gt;Cost_Red,N104&gt;Slip_Red),"Red",IF(OR(L104&lt;=SV_Amber,M104&gt;Cost_Amber,N104&gt;Slip_Amber),"Amber","Green"))))))</f>
        <v/>
      </c>
      <c r="P104" s="0" t="str">
        <f aca="false">IF(AND(H104="Green",OR(O104="Amber",O104="Red")),"Watermelon","")</f>
        <v/>
      </c>
      <c r="Q104" s="0" t="str">
        <f aca="false">IF(B104="","",IF(J104="","Missing",IF(J104&gt;A104+UpdateDue,"Late","On time")))</f>
        <v/>
      </c>
      <c r="R104" s="0" t="str">
        <f aca="false">IF(OR(B104="",D104=""),"",IF(COUNTIFS($B$6:$B$400,B104,$A$6:$A$400,EOMONTH(A104,-1))=0,"",IF(D104&lt;SUMIFS($D$6:$D$400,$B$6:$B$400,B104,$A$6:$A$400,EOMONTH(A104,-1)),"Dropped","")))</f>
        <v/>
      </c>
      <c r="S104" s="41" t="str">
        <f aca="false">IF(B104="","",B104&amp;"|"&amp;(YEAR(A104)*100+MONTH(A104)))</f>
        <v/>
      </c>
    </row>
    <row r="105" customFormat="false" ht="15" hidden="false" customHeight="false" outlineLevel="0" collapsed="false">
      <c r="A105" s="37"/>
      <c r="C105" s="0" t="str">
        <f aca="false">IF(B105="","",IFERROR(INDEX(Project_Register!$B$6:$B$40,MATCH(B105,Project_Register!$A$6:$A$40,0)),"Unknown ID"))</f>
        <v/>
      </c>
      <c r="D105" s="38"/>
      <c r="E105" s="24"/>
      <c r="F105" s="24"/>
      <c r="G105" s="39"/>
      <c r="J105" s="39"/>
      <c r="K105" s="38" t="str">
        <f aca="false">IF(OR(B105="",T105="On Hold"),"",MAX(0,MIN(1,(A105-INDEX(Project_Register!$G$6:$G$40,MATCH(B105,Project_Register!$A$6:$A$40,0)))/(INDEX(Project_Register!$H$6:$H$40,MATCH(B105,Project_Register!$A$6:$A$40,0))-INDEX(Project_Register!$G$6:$G$40,MATCH(B105,Project_Register!$A$6:$A$40,0))))))</f>
        <v/>
      </c>
      <c r="L105" s="40" t="str">
        <f aca="false">IF(OR(B105="",D105="",T105="On Hold"),"",ROUND((D105-K105)*100,0))</f>
        <v/>
      </c>
      <c r="M105" s="38" t="str">
        <f aca="false">IF(OR(B105="",F105=""),"",F105/INDEX(Project_Register!$I$6:$I$40,MATCH(B105,Project_Register!$A$6:$A$40,0)))</f>
        <v/>
      </c>
      <c r="N105" s="40" t="str">
        <f aca="false">IF(OR(B105="",G105="",T105="On Hold"),"",G105-INDEX(Project_Register!$H$6:$H$40,MATCH(B105,Project_Register!$A$6:$A$40,0)))</f>
        <v/>
      </c>
      <c r="O105" s="0" t="str">
        <f aca="false">IF(B105="","",IF(D105="","No update",IF(AND(T105&lt;&gt;"Active",D105&lt;1),T105,IF(D105&gt;=1,"Complete",IF(OR(L105&lt;=SV_Red,M105&gt;Cost_Red,N105&gt;Slip_Red),"Red",IF(OR(L105&lt;=SV_Amber,M105&gt;Cost_Amber,N105&gt;Slip_Amber),"Amber","Green"))))))</f>
        <v/>
      </c>
      <c r="P105" s="0" t="str">
        <f aca="false">IF(AND(H105="Green",OR(O105="Amber",O105="Red")),"Watermelon","")</f>
        <v/>
      </c>
      <c r="Q105" s="0" t="str">
        <f aca="false">IF(B105="","",IF(J105="","Missing",IF(J105&gt;A105+UpdateDue,"Late","On time")))</f>
        <v/>
      </c>
      <c r="R105" s="0" t="str">
        <f aca="false">IF(OR(B105="",D105=""),"",IF(COUNTIFS($B$6:$B$400,B105,$A$6:$A$400,EOMONTH(A105,-1))=0,"",IF(D105&lt;SUMIFS($D$6:$D$400,$B$6:$B$400,B105,$A$6:$A$400,EOMONTH(A105,-1)),"Dropped","")))</f>
        <v/>
      </c>
      <c r="S105" s="41" t="str">
        <f aca="false">IF(B105="","",B105&amp;"|"&amp;(YEAR(A105)*100+MONTH(A105)))</f>
        <v/>
      </c>
    </row>
    <row r="106" customFormat="false" ht="15" hidden="false" customHeight="false" outlineLevel="0" collapsed="false">
      <c r="A106" s="37"/>
      <c r="C106" s="0" t="str">
        <f aca="false">IF(B106="","",IFERROR(INDEX(Project_Register!$B$6:$B$40,MATCH(B106,Project_Register!$A$6:$A$40,0)),"Unknown ID"))</f>
        <v/>
      </c>
      <c r="D106" s="38"/>
      <c r="E106" s="24"/>
      <c r="F106" s="24"/>
      <c r="G106" s="39"/>
      <c r="J106" s="39"/>
      <c r="K106" s="38" t="str">
        <f aca="false">IF(OR(B106="",T106="On Hold"),"",MAX(0,MIN(1,(A106-INDEX(Project_Register!$G$6:$G$40,MATCH(B106,Project_Register!$A$6:$A$40,0)))/(INDEX(Project_Register!$H$6:$H$40,MATCH(B106,Project_Register!$A$6:$A$40,0))-INDEX(Project_Register!$G$6:$G$40,MATCH(B106,Project_Register!$A$6:$A$40,0))))))</f>
        <v/>
      </c>
      <c r="L106" s="40" t="str">
        <f aca="false">IF(OR(B106="",D106="",T106="On Hold"),"",ROUND((D106-K106)*100,0))</f>
        <v/>
      </c>
      <c r="M106" s="38" t="str">
        <f aca="false">IF(OR(B106="",F106=""),"",F106/INDEX(Project_Register!$I$6:$I$40,MATCH(B106,Project_Register!$A$6:$A$40,0)))</f>
        <v/>
      </c>
      <c r="N106" s="40" t="str">
        <f aca="false">IF(OR(B106="",G106="",T106="On Hold"),"",G106-INDEX(Project_Register!$H$6:$H$40,MATCH(B106,Project_Register!$A$6:$A$40,0)))</f>
        <v/>
      </c>
      <c r="O106" s="0" t="str">
        <f aca="false">IF(B106="","",IF(D106="","No update",IF(AND(T106&lt;&gt;"Active",D106&lt;1),T106,IF(D106&gt;=1,"Complete",IF(OR(L106&lt;=SV_Red,M106&gt;Cost_Red,N106&gt;Slip_Red),"Red",IF(OR(L106&lt;=SV_Amber,M106&gt;Cost_Amber,N106&gt;Slip_Amber),"Amber","Green"))))))</f>
        <v/>
      </c>
      <c r="P106" s="0" t="str">
        <f aca="false">IF(AND(H106="Green",OR(O106="Amber",O106="Red")),"Watermelon","")</f>
        <v/>
      </c>
      <c r="Q106" s="0" t="str">
        <f aca="false">IF(B106="","",IF(J106="","Missing",IF(J106&gt;A106+UpdateDue,"Late","On time")))</f>
        <v/>
      </c>
      <c r="R106" s="0" t="str">
        <f aca="false">IF(OR(B106="",D106=""),"",IF(COUNTIFS($B$6:$B$400,B106,$A$6:$A$400,EOMONTH(A106,-1))=0,"",IF(D106&lt;SUMIFS($D$6:$D$400,$B$6:$B$400,B106,$A$6:$A$400,EOMONTH(A106,-1)),"Dropped","")))</f>
        <v/>
      </c>
      <c r="S106" s="41" t="str">
        <f aca="false">IF(B106="","",B106&amp;"|"&amp;(YEAR(A106)*100+MONTH(A106)))</f>
        <v/>
      </c>
    </row>
    <row r="107" customFormat="false" ht="15" hidden="false" customHeight="false" outlineLevel="0" collapsed="false">
      <c r="A107" s="37"/>
      <c r="C107" s="0" t="str">
        <f aca="false">IF(B107="","",IFERROR(INDEX(Project_Register!$B$6:$B$40,MATCH(B107,Project_Register!$A$6:$A$40,0)),"Unknown ID"))</f>
        <v/>
      </c>
      <c r="D107" s="38"/>
      <c r="E107" s="24"/>
      <c r="F107" s="24"/>
      <c r="G107" s="39"/>
      <c r="J107" s="39"/>
      <c r="K107" s="38" t="str">
        <f aca="false">IF(OR(B107="",T107="On Hold"),"",MAX(0,MIN(1,(A107-INDEX(Project_Register!$G$6:$G$40,MATCH(B107,Project_Register!$A$6:$A$40,0)))/(INDEX(Project_Register!$H$6:$H$40,MATCH(B107,Project_Register!$A$6:$A$40,0))-INDEX(Project_Register!$G$6:$G$40,MATCH(B107,Project_Register!$A$6:$A$40,0))))))</f>
        <v/>
      </c>
      <c r="L107" s="40" t="str">
        <f aca="false">IF(OR(B107="",D107="",T107="On Hold"),"",ROUND((D107-K107)*100,0))</f>
        <v/>
      </c>
      <c r="M107" s="38" t="str">
        <f aca="false">IF(OR(B107="",F107=""),"",F107/INDEX(Project_Register!$I$6:$I$40,MATCH(B107,Project_Register!$A$6:$A$40,0)))</f>
        <v/>
      </c>
      <c r="N107" s="40" t="str">
        <f aca="false">IF(OR(B107="",G107="",T107="On Hold"),"",G107-INDEX(Project_Register!$H$6:$H$40,MATCH(B107,Project_Register!$A$6:$A$40,0)))</f>
        <v/>
      </c>
      <c r="O107" s="0" t="str">
        <f aca="false">IF(B107="","",IF(D107="","No update",IF(AND(T107&lt;&gt;"Active",D107&lt;1),T107,IF(D107&gt;=1,"Complete",IF(OR(L107&lt;=SV_Red,M107&gt;Cost_Red,N107&gt;Slip_Red),"Red",IF(OR(L107&lt;=SV_Amber,M107&gt;Cost_Amber,N107&gt;Slip_Amber),"Amber","Green"))))))</f>
        <v/>
      </c>
      <c r="P107" s="0" t="str">
        <f aca="false">IF(AND(H107="Green",OR(O107="Amber",O107="Red")),"Watermelon","")</f>
        <v/>
      </c>
      <c r="Q107" s="0" t="str">
        <f aca="false">IF(B107="","",IF(J107="","Missing",IF(J107&gt;A107+UpdateDue,"Late","On time")))</f>
        <v/>
      </c>
      <c r="R107" s="0" t="str">
        <f aca="false">IF(OR(B107="",D107=""),"",IF(COUNTIFS($B$6:$B$400,B107,$A$6:$A$400,EOMONTH(A107,-1))=0,"",IF(D107&lt;SUMIFS($D$6:$D$400,$B$6:$B$400,B107,$A$6:$A$400,EOMONTH(A107,-1)),"Dropped","")))</f>
        <v/>
      </c>
      <c r="S107" s="41" t="str">
        <f aca="false">IF(B107="","",B107&amp;"|"&amp;(YEAR(A107)*100+MONTH(A107)))</f>
        <v/>
      </c>
    </row>
    <row r="108" customFormat="false" ht="15" hidden="false" customHeight="false" outlineLevel="0" collapsed="false">
      <c r="A108" s="37"/>
      <c r="C108" s="0" t="str">
        <f aca="false">IF(B108="","",IFERROR(INDEX(Project_Register!$B$6:$B$40,MATCH(B108,Project_Register!$A$6:$A$40,0)),"Unknown ID"))</f>
        <v/>
      </c>
      <c r="D108" s="38"/>
      <c r="E108" s="24"/>
      <c r="F108" s="24"/>
      <c r="G108" s="39"/>
      <c r="J108" s="39"/>
      <c r="K108" s="38" t="str">
        <f aca="false">IF(OR(B108="",T108="On Hold"),"",MAX(0,MIN(1,(A108-INDEX(Project_Register!$G$6:$G$40,MATCH(B108,Project_Register!$A$6:$A$40,0)))/(INDEX(Project_Register!$H$6:$H$40,MATCH(B108,Project_Register!$A$6:$A$40,0))-INDEX(Project_Register!$G$6:$G$40,MATCH(B108,Project_Register!$A$6:$A$40,0))))))</f>
        <v/>
      </c>
      <c r="L108" s="40" t="str">
        <f aca="false">IF(OR(B108="",D108="",T108="On Hold"),"",ROUND((D108-K108)*100,0))</f>
        <v/>
      </c>
      <c r="M108" s="38" t="str">
        <f aca="false">IF(OR(B108="",F108=""),"",F108/INDEX(Project_Register!$I$6:$I$40,MATCH(B108,Project_Register!$A$6:$A$40,0)))</f>
        <v/>
      </c>
      <c r="N108" s="40" t="str">
        <f aca="false">IF(OR(B108="",G108="",T108="On Hold"),"",G108-INDEX(Project_Register!$H$6:$H$40,MATCH(B108,Project_Register!$A$6:$A$40,0)))</f>
        <v/>
      </c>
      <c r="O108" s="0" t="str">
        <f aca="false">IF(B108="","",IF(D108="","No update",IF(AND(T108&lt;&gt;"Active",D108&lt;1),T108,IF(D108&gt;=1,"Complete",IF(OR(L108&lt;=SV_Red,M108&gt;Cost_Red,N108&gt;Slip_Red),"Red",IF(OR(L108&lt;=SV_Amber,M108&gt;Cost_Amber,N108&gt;Slip_Amber),"Amber","Green"))))))</f>
        <v/>
      </c>
      <c r="P108" s="0" t="str">
        <f aca="false">IF(AND(H108="Green",OR(O108="Amber",O108="Red")),"Watermelon","")</f>
        <v/>
      </c>
      <c r="Q108" s="0" t="str">
        <f aca="false">IF(B108="","",IF(J108="","Missing",IF(J108&gt;A108+UpdateDue,"Late","On time")))</f>
        <v/>
      </c>
      <c r="R108" s="0" t="str">
        <f aca="false">IF(OR(B108="",D108=""),"",IF(COUNTIFS($B$6:$B$400,B108,$A$6:$A$400,EOMONTH(A108,-1))=0,"",IF(D108&lt;SUMIFS($D$6:$D$400,$B$6:$B$400,B108,$A$6:$A$400,EOMONTH(A108,-1)),"Dropped","")))</f>
        <v/>
      </c>
      <c r="S108" s="41" t="str">
        <f aca="false">IF(B108="","",B108&amp;"|"&amp;(YEAR(A108)*100+MONTH(A108)))</f>
        <v/>
      </c>
    </row>
    <row r="109" customFormat="false" ht="15" hidden="false" customHeight="false" outlineLevel="0" collapsed="false">
      <c r="A109" s="37"/>
      <c r="C109" s="0" t="str">
        <f aca="false">IF(B109="","",IFERROR(INDEX(Project_Register!$B$6:$B$40,MATCH(B109,Project_Register!$A$6:$A$40,0)),"Unknown ID"))</f>
        <v/>
      </c>
      <c r="D109" s="38"/>
      <c r="E109" s="24"/>
      <c r="F109" s="24"/>
      <c r="G109" s="39"/>
      <c r="J109" s="39"/>
      <c r="K109" s="38" t="str">
        <f aca="false">IF(OR(B109="",T109="On Hold"),"",MAX(0,MIN(1,(A109-INDEX(Project_Register!$G$6:$G$40,MATCH(B109,Project_Register!$A$6:$A$40,0)))/(INDEX(Project_Register!$H$6:$H$40,MATCH(B109,Project_Register!$A$6:$A$40,0))-INDEX(Project_Register!$G$6:$G$40,MATCH(B109,Project_Register!$A$6:$A$40,0))))))</f>
        <v/>
      </c>
      <c r="L109" s="40" t="str">
        <f aca="false">IF(OR(B109="",D109="",T109="On Hold"),"",ROUND((D109-K109)*100,0))</f>
        <v/>
      </c>
      <c r="M109" s="38" t="str">
        <f aca="false">IF(OR(B109="",F109=""),"",F109/INDEX(Project_Register!$I$6:$I$40,MATCH(B109,Project_Register!$A$6:$A$40,0)))</f>
        <v/>
      </c>
      <c r="N109" s="40" t="str">
        <f aca="false">IF(OR(B109="",G109="",T109="On Hold"),"",G109-INDEX(Project_Register!$H$6:$H$40,MATCH(B109,Project_Register!$A$6:$A$40,0)))</f>
        <v/>
      </c>
      <c r="O109" s="0" t="str">
        <f aca="false">IF(B109="","",IF(D109="","No update",IF(AND(T109&lt;&gt;"Active",D109&lt;1),T109,IF(D109&gt;=1,"Complete",IF(OR(L109&lt;=SV_Red,M109&gt;Cost_Red,N109&gt;Slip_Red),"Red",IF(OR(L109&lt;=SV_Amber,M109&gt;Cost_Amber,N109&gt;Slip_Amber),"Amber","Green"))))))</f>
        <v/>
      </c>
      <c r="P109" s="0" t="str">
        <f aca="false">IF(AND(H109="Green",OR(O109="Amber",O109="Red")),"Watermelon","")</f>
        <v/>
      </c>
      <c r="Q109" s="0" t="str">
        <f aca="false">IF(B109="","",IF(J109="","Missing",IF(J109&gt;A109+UpdateDue,"Late","On time")))</f>
        <v/>
      </c>
      <c r="R109" s="0" t="str">
        <f aca="false">IF(OR(B109="",D109=""),"",IF(COUNTIFS($B$6:$B$400,B109,$A$6:$A$400,EOMONTH(A109,-1))=0,"",IF(D109&lt;SUMIFS($D$6:$D$400,$B$6:$B$400,B109,$A$6:$A$400,EOMONTH(A109,-1)),"Dropped","")))</f>
        <v/>
      </c>
      <c r="S109" s="41" t="str">
        <f aca="false">IF(B109="","",B109&amp;"|"&amp;(YEAR(A109)*100+MONTH(A109)))</f>
        <v/>
      </c>
    </row>
    <row r="110" customFormat="false" ht="15" hidden="false" customHeight="false" outlineLevel="0" collapsed="false">
      <c r="A110" s="37"/>
      <c r="C110" s="0" t="str">
        <f aca="false">IF(B110="","",IFERROR(INDEX(Project_Register!$B$6:$B$40,MATCH(B110,Project_Register!$A$6:$A$40,0)),"Unknown ID"))</f>
        <v/>
      </c>
      <c r="D110" s="38"/>
      <c r="E110" s="24"/>
      <c r="F110" s="24"/>
      <c r="G110" s="39"/>
      <c r="J110" s="39"/>
      <c r="K110" s="38" t="str">
        <f aca="false">IF(OR(B110="",T110="On Hold"),"",MAX(0,MIN(1,(A110-INDEX(Project_Register!$G$6:$G$40,MATCH(B110,Project_Register!$A$6:$A$40,0)))/(INDEX(Project_Register!$H$6:$H$40,MATCH(B110,Project_Register!$A$6:$A$40,0))-INDEX(Project_Register!$G$6:$G$40,MATCH(B110,Project_Register!$A$6:$A$40,0))))))</f>
        <v/>
      </c>
      <c r="L110" s="40" t="str">
        <f aca="false">IF(OR(B110="",D110="",T110="On Hold"),"",ROUND((D110-K110)*100,0))</f>
        <v/>
      </c>
      <c r="M110" s="38" t="str">
        <f aca="false">IF(OR(B110="",F110=""),"",F110/INDEX(Project_Register!$I$6:$I$40,MATCH(B110,Project_Register!$A$6:$A$40,0)))</f>
        <v/>
      </c>
      <c r="N110" s="40" t="str">
        <f aca="false">IF(OR(B110="",G110="",T110="On Hold"),"",G110-INDEX(Project_Register!$H$6:$H$40,MATCH(B110,Project_Register!$A$6:$A$40,0)))</f>
        <v/>
      </c>
      <c r="O110" s="0" t="str">
        <f aca="false">IF(B110="","",IF(D110="","No update",IF(AND(T110&lt;&gt;"Active",D110&lt;1),T110,IF(D110&gt;=1,"Complete",IF(OR(L110&lt;=SV_Red,M110&gt;Cost_Red,N110&gt;Slip_Red),"Red",IF(OR(L110&lt;=SV_Amber,M110&gt;Cost_Amber,N110&gt;Slip_Amber),"Amber","Green"))))))</f>
        <v/>
      </c>
      <c r="P110" s="0" t="str">
        <f aca="false">IF(AND(H110="Green",OR(O110="Amber",O110="Red")),"Watermelon","")</f>
        <v/>
      </c>
      <c r="Q110" s="0" t="str">
        <f aca="false">IF(B110="","",IF(J110="","Missing",IF(J110&gt;A110+UpdateDue,"Late","On time")))</f>
        <v/>
      </c>
      <c r="R110" s="0" t="str">
        <f aca="false">IF(OR(B110="",D110=""),"",IF(COUNTIFS($B$6:$B$400,B110,$A$6:$A$400,EOMONTH(A110,-1))=0,"",IF(D110&lt;SUMIFS($D$6:$D$400,$B$6:$B$400,B110,$A$6:$A$400,EOMONTH(A110,-1)),"Dropped","")))</f>
        <v/>
      </c>
      <c r="S110" s="41" t="str">
        <f aca="false">IF(B110="","",B110&amp;"|"&amp;(YEAR(A110)*100+MONTH(A110)))</f>
        <v/>
      </c>
    </row>
    <row r="111" customFormat="false" ht="15" hidden="false" customHeight="false" outlineLevel="0" collapsed="false">
      <c r="A111" s="37"/>
      <c r="C111" s="0" t="str">
        <f aca="false">IF(B111="","",IFERROR(INDEX(Project_Register!$B$6:$B$40,MATCH(B111,Project_Register!$A$6:$A$40,0)),"Unknown ID"))</f>
        <v/>
      </c>
      <c r="D111" s="38"/>
      <c r="E111" s="24"/>
      <c r="F111" s="24"/>
      <c r="G111" s="39"/>
      <c r="J111" s="39"/>
      <c r="K111" s="38" t="str">
        <f aca="false">IF(OR(B111="",T111="On Hold"),"",MAX(0,MIN(1,(A111-INDEX(Project_Register!$G$6:$G$40,MATCH(B111,Project_Register!$A$6:$A$40,0)))/(INDEX(Project_Register!$H$6:$H$40,MATCH(B111,Project_Register!$A$6:$A$40,0))-INDEX(Project_Register!$G$6:$G$40,MATCH(B111,Project_Register!$A$6:$A$40,0))))))</f>
        <v/>
      </c>
      <c r="L111" s="40" t="str">
        <f aca="false">IF(OR(B111="",D111="",T111="On Hold"),"",ROUND((D111-K111)*100,0))</f>
        <v/>
      </c>
      <c r="M111" s="38" t="str">
        <f aca="false">IF(OR(B111="",F111=""),"",F111/INDEX(Project_Register!$I$6:$I$40,MATCH(B111,Project_Register!$A$6:$A$40,0)))</f>
        <v/>
      </c>
      <c r="N111" s="40" t="str">
        <f aca="false">IF(OR(B111="",G111="",T111="On Hold"),"",G111-INDEX(Project_Register!$H$6:$H$40,MATCH(B111,Project_Register!$A$6:$A$40,0)))</f>
        <v/>
      </c>
      <c r="O111" s="0" t="str">
        <f aca="false">IF(B111="","",IF(D111="","No update",IF(AND(T111&lt;&gt;"Active",D111&lt;1),T111,IF(D111&gt;=1,"Complete",IF(OR(L111&lt;=SV_Red,M111&gt;Cost_Red,N111&gt;Slip_Red),"Red",IF(OR(L111&lt;=SV_Amber,M111&gt;Cost_Amber,N111&gt;Slip_Amber),"Amber","Green"))))))</f>
        <v/>
      </c>
      <c r="P111" s="0" t="str">
        <f aca="false">IF(AND(H111="Green",OR(O111="Amber",O111="Red")),"Watermelon","")</f>
        <v/>
      </c>
      <c r="Q111" s="0" t="str">
        <f aca="false">IF(B111="","",IF(J111="","Missing",IF(J111&gt;A111+UpdateDue,"Late","On time")))</f>
        <v/>
      </c>
      <c r="R111" s="0" t="str">
        <f aca="false">IF(OR(B111="",D111=""),"",IF(COUNTIFS($B$6:$B$400,B111,$A$6:$A$400,EOMONTH(A111,-1))=0,"",IF(D111&lt;SUMIFS($D$6:$D$400,$B$6:$B$400,B111,$A$6:$A$400,EOMONTH(A111,-1)),"Dropped","")))</f>
        <v/>
      </c>
      <c r="S111" s="41" t="str">
        <f aca="false">IF(B111="","",B111&amp;"|"&amp;(YEAR(A111)*100+MONTH(A111)))</f>
        <v/>
      </c>
    </row>
    <row r="112" customFormat="false" ht="15" hidden="false" customHeight="false" outlineLevel="0" collapsed="false">
      <c r="A112" s="37"/>
      <c r="C112" s="0" t="str">
        <f aca="false">IF(B112="","",IFERROR(INDEX(Project_Register!$B$6:$B$40,MATCH(B112,Project_Register!$A$6:$A$40,0)),"Unknown ID"))</f>
        <v/>
      </c>
      <c r="D112" s="38"/>
      <c r="E112" s="24"/>
      <c r="F112" s="24"/>
      <c r="G112" s="39"/>
      <c r="J112" s="39"/>
      <c r="K112" s="38" t="str">
        <f aca="false">IF(OR(B112="",T112="On Hold"),"",MAX(0,MIN(1,(A112-INDEX(Project_Register!$G$6:$G$40,MATCH(B112,Project_Register!$A$6:$A$40,0)))/(INDEX(Project_Register!$H$6:$H$40,MATCH(B112,Project_Register!$A$6:$A$40,0))-INDEX(Project_Register!$G$6:$G$40,MATCH(B112,Project_Register!$A$6:$A$40,0))))))</f>
        <v/>
      </c>
      <c r="L112" s="40" t="str">
        <f aca="false">IF(OR(B112="",D112="",T112="On Hold"),"",ROUND((D112-K112)*100,0))</f>
        <v/>
      </c>
      <c r="M112" s="38" t="str">
        <f aca="false">IF(OR(B112="",F112=""),"",F112/INDEX(Project_Register!$I$6:$I$40,MATCH(B112,Project_Register!$A$6:$A$40,0)))</f>
        <v/>
      </c>
      <c r="N112" s="40" t="str">
        <f aca="false">IF(OR(B112="",G112="",T112="On Hold"),"",G112-INDEX(Project_Register!$H$6:$H$40,MATCH(B112,Project_Register!$A$6:$A$40,0)))</f>
        <v/>
      </c>
      <c r="O112" s="0" t="str">
        <f aca="false">IF(B112="","",IF(D112="","No update",IF(AND(T112&lt;&gt;"Active",D112&lt;1),T112,IF(D112&gt;=1,"Complete",IF(OR(L112&lt;=SV_Red,M112&gt;Cost_Red,N112&gt;Slip_Red),"Red",IF(OR(L112&lt;=SV_Amber,M112&gt;Cost_Amber,N112&gt;Slip_Amber),"Amber","Green"))))))</f>
        <v/>
      </c>
      <c r="P112" s="0" t="str">
        <f aca="false">IF(AND(H112="Green",OR(O112="Amber",O112="Red")),"Watermelon","")</f>
        <v/>
      </c>
      <c r="Q112" s="0" t="str">
        <f aca="false">IF(B112="","",IF(J112="","Missing",IF(J112&gt;A112+UpdateDue,"Late","On time")))</f>
        <v/>
      </c>
      <c r="R112" s="0" t="str">
        <f aca="false">IF(OR(B112="",D112=""),"",IF(COUNTIFS($B$6:$B$400,B112,$A$6:$A$400,EOMONTH(A112,-1))=0,"",IF(D112&lt;SUMIFS($D$6:$D$400,$B$6:$B$400,B112,$A$6:$A$400,EOMONTH(A112,-1)),"Dropped","")))</f>
        <v/>
      </c>
      <c r="S112" s="41" t="str">
        <f aca="false">IF(B112="","",B112&amp;"|"&amp;(YEAR(A112)*100+MONTH(A112)))</f>
        <v/>
      </c>
    </row>
    <row r="113" customFormat="false" ht="15" hidden="false" customHeight="false" outlineLevel="0" collapsed="false">
      <c r="A113" s="37"/>
      <c r="C113" s="0" t="str">
        <f aca="false">IF(B113="","",IFERROR(INDEX(Project_Register!$B$6:$B$40,MATCH(B113,Project_Register!$A$6:$A$40,0)),"Unknown ID"))</f>
        <v/>
      </c>
      <c r="D113" s="38"/>
      <c r="E113" s="24"/>
      <c r="F113" s="24"/>
      <c r="G113" s="39"/>
      <c r="J113" s="39"/>
      <c r="K113" s="38" t="str">
        <f aca="false">IF(OR(B113="",T113="On Hold"),"",MAX(0,MIN(1,(A113-INDEX(Project_Register!$G$6:$G$40,MATCH(B113,Project_Register!$A$6:$A$40,0)))/(INDEX(Project_Register!$H$6:$H$40,MATCH(B113,Project_Register!$A$6:$A$40,0))-INDEX(Project_Register!$G$6:$G$40,MATCH(B113,Project_Register!$A$6:$A$40,0))))))</f>
        <v/>
      </c>
      <c r="L113" s="40" t="str">
        <f aca="false">IF(OR(B113="",D113="",T113="On Hold"),"",ROUND((D113-K113)*100,0))</f>
        <v/>
      </c>
      <c r="M113" s="38" t="str">
        <f aca="false">IF(OR(B113="",F113=""),"",F113/INDEX(Project_Register!$I$6:$I$40,MATCH(B113,Project_Register!$A$6:$A$40,0)))</f>
        <v/>
      </c>
      <c r="N113" s="40" t="str">
        <f aca="false">IF(OR(B113="",G113="",T113="On Hold"),"",G113-INDEX(Project_Register!$H$6:$H$40,MATCH(B113,Project_Register!$A$6:$A$40,0)))</f>
        <v/>
      </c>
      <c r="O113" s="0" t="str">
        <f aca="false">IF(B113="","",IF(D113="","No update",IF(AND(T113&lt;&gt;"Active",D113&lt;1),T113,IF(D113&gt;=1,"Complete",IF(OR(L113&lt;=SV_Red,M113&gt;Cost_Red,N113&gt;Slip_Red),"Red",IF(OR(L113&lt;=SV_Amber,M113&gt;Cost_Amber,N113&gt;Slip_Amber),"Amber","Green"))))))</f>
        <v/>
      </c>
      <c r="P113" s="0" t="str">
        <f aca="false">IF(AND(H113="Green",OR(O113="Amber",O113="Red")),"Watermelon","")</f>
        <v/>
      </c>
      <c r="Q113" s="0" t="str">
        <f aca="false">IF(B113="","",IF(J113="","Missing",IF(J113&gt;A113+UpdateDue,"Late","On time")))</f>
        <v/>
      </c>
      <c r="R113" s="0" t="str">
        <f aca="false">IF(OR(B113="",D113=""),"",IF(COUNTIFS($B$6:$B$400,B113,$A$6:$A$400,EOMONTH(A113,-1))=0,"",IF(D113&lt;SUMIFS($D$6:$D$400,$B$6:$B$400,B113,$A$6:$A$400,EOMONTH(A113,-1)),"Dropped","")))</f>
        <v/>
      </c>
      <c r="S113" s="41" t="str">
        <f aca="false">IF(B113="","",B113&amp;"|"&amp;(YEAR(A113)*100+MONTH(A113)))</f>
        <v/>
      </c>
    </row>
    <row r="114" customFormat="false" ht="15" hidden="false" customHeight="false" outlineLevel="0" collapsed="false">
      <c r="A114" s="37"/>
      <c r="C114" s="0" t="str">
        <f aca="false">IF(B114="","",IFERROR(INDEX(Project_Register!$B$6:$B$40,MATCH(B114,Project_Register!$A$6:$A$40,0)),"Unknown ID"))</f>
        <v/>
      </c>
      <c r="D114" s="38"/>
      <c r="E114" s="24"/>
      <c r="F114" s="24"/>
      <c r="G114" s="39"/>
      <c r="J114" s="39"/>
      <c r="K114" s="38" t="str">
        <f aca="false">IF(OR(B114="",T114="On Hold"),"",MAX(0,MIN(1,(A114-INDEX(Project_Register!$G$6:$G$40,MATCH(B114,Project_Register!$A$6:$A$40,0)))/(INDEX(Project_Register!$H$6:$H$40,MATCH(B114,Project_Register!$A$6:$A$40,0))-INDEX(Project_Register!$G$6:$G$40,MATCH(B114,Project_Register!$A$6:$A$40,0))))))</f>
        <v/>
      </c>
      <c r="L114" s="40" t="str">
        <f aca="false">IF(OR(B114="",D114="",T114="On Hold"),"",ROUND((D114-K114)*100,0))</f>
        <v/>
      </c>
      <c r="M114" s="38" t="str">
        <f aca="false">IF(OR(B114="",F114=""),"",F114/INDEX(Project_Register!$I$6:$I$40,MATCH(B114,Project_Register!$A$6:$A$40,0)))</f>
        <v/>
      </c>
      <c r="N114" s="40" t="str">
        <f aca="false">IF(OR(B114="",G114="",T114="On Hold"),"",G114-INDEX(Project_Register!$H$6:$H$40,MATCH(B114,Project_Register!$A$6:$A$40,0)))</f>
        <v/>
      </c>
      <c r="O114" s="0" t="str">
        <f aca="false">IF(B114="","",IF(D114="","No update",IF(AND(T114&lt;&gt;"Active",D114&lt;1),T114,IF(D114&gt;=1,"Complete",IF(OR(L114&lt;=SV_Red,M114&gt;Cost_Red,N114&gt;Slip_Red),"Red",IF(OR(L114&lt;=SV_Amber,M114&gt;Cost_Amber,N114&gt;Slip_Amber),"Amber","Green"))))))</f>
        <v/>
      </c>
      <c r="P114" s="0" t="str">
        <f aca="false">IF(AND(H114="Green",OR(O114="Amber",O114="Red")),"Watermelon","")</f>
        <v/>
      </c>
      <c r="Q114" s="0" t="str">
        <f aca="false">IF(B114="","",IF(J114="","Missing",IF(J114&gt;A114+UpdateDue,"Late","On time")))</f>
        <v/>
      </c>
      <c r="R114" s="0" t="str">
        <f aca="false">IF(OR(B114="",D114=""),"",IF(COUNTIFS($B$6:$B$400,B114,$A$6:$A$400,EOMONTH(A114,-1))=0,"",IF(D114&lt;SUMIFS($D$6:$D$400,$B$6:$B$400,B114,$A$6:$A$400,EOMONTH(A114,-1)),"Dropped","")))</f>
        <v/>
      </c>
      <c r="S114" s="41" t="str">
        <f aca="false">IF(B114="","",B114&amp;"|"&amp;(YEAR(A114)*100+MONTH(A114)))</f>
        <v/>
      </c>
    </row>
    <row r="115" customFormat="false" ht="15" hidden="false" customHeight="false" outlineLevel="0" collapsed="false">
      <c r="A115" s="37"/>
      <c r="C115" s="0" t="str">
        <f aca="false">IF(B115="","",IFERROR(INDEX(Project_Register!$B$6:$B$40,MATCH(B115,Project_Register!$A$6:$A$40,0)),"Unknown ID"))</f>
        <v/>
      </c>
      <c r="D115" s="38"/>
      <c r="E115" s="24"/>
      <c r="F115" s="24"/>
      <c r="G115" s="39"/>
      <c r="J115" s="39"/>
      <c r="K115" s="38" t="str">
        <f aca="false">IF(OR(B115="",T115="On Hold"),"",MAX(0,MIN(1,(A115-INDEX(Project_Register!$G$6:$G$40,MATCH(B115,Project_Register!$A$6:$A$40,0)))/(INDEX(Project_Register!$H$6:$H$40,MATCH(B115,Project_Register!$A$6:$A$40,0))-INDEX(Project_Register!$G$6:$G$40,MATCH(B115,Project_Register!$A$6:$A$40,0))))))</f>
        <v/>
      </c>
      <c r="L115" s="40" t="str">
        <f aca="false">IF(OR(B115="",D115="",T115="On Hold"),"",ROUND((D115-K115)*100,0))</f>
        <v/>
      </c>
      <c r="M115" s="38" t="str">
        <f aca="false">IF(OR(B115="",F115=""),"",F115/INDEX(Project_Register!$I$6:$I$40,MATCH(B115,Project_Register!$A$6:$A$40,0)))</f>
        <v/>
      </c>
      <c r="N115" s="40" t="str">
        <f aca="false">IF(OR(B115="",G115="",T115="On Hold"),"",G115-INDEX(Project_Register!$H$6:$H$40,MATCH(B115,Project_Register!$A$6:$A$40,0)))</f>
        <v/>
      </c>
      <c r="O115" s="0" t="str">
        <f aca="false">IF(B115="","",IF(D115="","No update",IF(AND(T115&lt;&gt;"Active",D115&lt;1),T115,IF(D115&gt;=1,"Complete",IF(OR(L115&lt;=SV_Red,M115&gt;Cost_Red,N115&gt;Slip_Red),"Red",IF(OR(L115&lt;=SV_Amber,M115&gt;Cost_Amber,N115&gt;Slip_Amber),"Amber","Green"))))))</f>
        <v/>
      </c>
      <c r="P115" s="0" t="str">
        <f aca="false">IF(AND(H115="Green",OR(O115="Amber",O115="Red")),"Watermelon","")</f>
        <v/>
      </c>
      <c r="Q115" s="0" t="str">
        <f aca="false">IF(B115="","",IF(J115="","Missing",IF(J115&gt;A115+UpdateDue,"Late","On time")))</f>
        <v/>
      </c>
      <c r="R115" s="0" t="str">
        <f aca="false">IF(OR(B115="",D115=""),"",IF(COUNTIFS($B$6:$B$400,B115,$A$6:$A$400,EOMONTH(A115,-1))=0,"",IF(D115&lt;SUMIFS($D$6:$D$400,$B$6:$B$400,B115,$A$6:$A$400,EOMONTH(A115,-1)),"Dropped","")))</f>
        <v/>
      </c>
      <c r="S115" s="41" t="str">
        <f aca="false">IF(B115="","",B115&amp;"|"&amp;(YEAR(A115)*100+MONTH(A115)))</f>
        <v/>
      </c>
    </row>
    <row r="116" customFormat="false" ht="15" hidden="false" customHeight="false" outlineLevel="0" collapsed="false">
      <c r="A116" s="37"/>
      <c r="C116" s="0" t="str">
        <f aca="false">IF(B116="","",IFERROR(INDEX(Project_Register!$B$6:$B$40,MATCH(B116,Project_Register!$A$6:$A$40,0)),"Unknown ID"))</f>
        <v/>
      </c>
      <c r="D116" s="38"/>
      <c r="E116" s="24"/>
      <c r="F116" s="24"/>
      <c r="G116" s="39"/>
      <c r="J116" s="39"/>
      <c r="K116" s="38" t="str">
        <f aca="false">IF(OR(B116="",T116="On Hold"),"",MAX(0,MIN(1,(A116-INDEX(Project_Register!$G$6:$G$40,MATCH(B116,Project_Register!$A$6:$A$40,0)))/(INDEX(Project_Register!$H$6:$H$40,MATCH(B116,Project_Register!$A$6:$A$40,0))-INDEX(Project_Register!$G$6:$G$40,MATCH(B116,Project_Register!$A$6:$A$40,0))))))</f>
        <v/>
      </c>
      <c r="L116" s="40" t="str">
        <f aca="false">IF(OR(B116="",D116="",T116="On Hold"),"",ROUND((D116-K116)*100,0))</f>
        <v/>
      </c>
      <c r="M116" s="38" t="str">
        <f aca="false">IF(OR(B116="",F116=""),"",F116/INDEX(Project_Register!$I$6:$I$40,MATCH(B116,Project_Register!$A$6:$A$40,0)))</f>
        <v/>
      </c>
      <c r="N116" s="40" t="str">
        <f aca="false">IF(OR(B116="",G116="",T116="On Hold"),"",G116-INDEX(Project_Register!$H$6:$H$40,MATCH(B116,Project_Register!$A$6:$A$40,0)))</f>
        <v/>
      </c>
      <c r="O116" s="0" t="str">
        <f aca="false">IF(B116="","",IF(D116="","No update",IF(AND(T116&lt;&gt;"Active",D116&lt;1),T116,IF(D116&gt;=1,"Complete",IF(OR(L116&lt;=SV_Red,M116&gt;Cost_Red,N116&gt;Slip_Red),"Red",IF(OR(L116&lt;=SV_Amber,M116&gt;Cost_Amber,N116&gt;Slip_Amber),"Amber","Green"))))))</f>
        <v/>
      </c>
      <c r="P116" s="0" t="str">
        <f aca="false">IF(AND(H116="Green",OR(O116="Amber",O116="Red")),"Watermelon","")</f>
        <v/>
      </c>
      <c r="Q116" s="0" t="str">
        <f aca="false">IF(B116="","",IF(J116="","Missing",IF(J116&gt;A116+UpdateDue,"Late","On time")))</f>
        <v/>
      </c>
      <c r="R116" s="0" t="str">
        <f aca="false">IF(OR(B116="",D116=""),"",IF(COUNTIFS($B$6:$B$400,B116,$A$6:$A$400,EOMONTH(A116,-1))=0,"",IF(D116&lt;SUMIFS($D$6:$D$400,$B$6:$B$400,B116,$A$6:$A$400,EOMONTH(A116,-1)),"Dropped","")))</f>
        <v/>
      </c>
      <c r="S116" s="41" t="str">
        <f aca="false">IF(B116="","",B116&amp;"|"&amp;(YEAR(A116)*100+MONTH(A116)))</f>
        <v/>
      </c>
    </row>
    <row r="117" customFormat="false" ht="15" hidden="false" customHeight="false" outlineLevel="0" collapsed="false">
      <c r="A117" s="37"/>
      <c r="C117" s="0" t="str">
        <f aca="false">IF(B117="","",IFERROR(INDEX(Project_Register!$B$6:$B$40,MATCH(B117,Project_Register!$A$6:$A$40,0)),"Unknown ID"))</f>
        <v/>
      </c>
      <c r="D117" s="38"/>
      <c r="E117" s="24"/>
      <c r="F117" s="24"/>
      <c r="G117" s="39"/>
      <c r="J117" s="39"/>
      <c r="K117" s="38" t="str">
        <f aca="false">IF(OR(B117="",T117="On Hold"),"",MAX(0,MIN(1,(A117-INDEX(Project_Register!$G$6:$G$40,MATCH(B117,Project_Register!$A$6:$A$40,0)))/(INDEX(Project_Register!$H$6:$H$40,MATCH(B117,Project_Register!$A$6:$A$40,0))-INDEX(Project_Register!$G$6:$G$40,MATCH(B117,Project_Register!$A$6:$A$40,0))))))</f>
        <v/>
      </c>
      <c r="L117" s="40" t="str">
        <f aca="false">IF(OR(B117="",D117="",T117="On Hold"),"",ROUND((D117-K117)*100,0))</f>
        <v/>
      </c>
      <c r="M117" s="38" t="str">
        <f aca="false">IF(OR(B117="",F117=""),"",F117/INDEX(Project_Register!$I$6:$I$40,MATCH(B117,Project_Register!$A$6:$A$40,0)))</f>
        <v/>
      </c>
      <c r="N117" s="40" t="str">
        <f aca="false">IF(OR(B117="",G117="",T117="On Hold"),"",G117-INDEX(Project_Register!$H$6:$H$40,MATCH(B117,Project_Register!$A$6:$A$40,0)))</f>
        <v/>
      </c>
      <c r="O117" s="0" t="str">
        <f aca="false">IF(B117="","",IF(D117="","No update",IF(AND(T117&lt;&gt;"Active",D117&lt;1),T117,IF(D117&gt;=1,"Complete",IF(OR(L117&lt;=SV_Red,M117&gt;Cost_Red,N117&gt;Slip_Red),"Red",IF(OR(L117&lt;=SV_Amber,M117&gt;Cost_Amber,N117&gt;Slip_Amber),"Amber","Green"))))))</f>
        <v/>
      </c>
      <c r="P117" s="0" t="str">
        <f aca="false">IF(AND(H117="Green",OR(O117="Amber",O117="Red")),"Watermelon","")</f>
        <v/>
      </c>
      <c r="Q117" s="0" t="str">
        <f aca="false">IF(B117="","",IF(J117="","Missing",IF(J117&gt;A117+UpdateDue,"Late","On time")))</f>
        <v/>
      </c>
      <c r="R117" s="0" t="str">
        <f aca="false">IF(OR(B117="",D117=""),"",IF(COUNTIFS($B$6:$B$400,B117,$A$6:$A$400,EOMONTH(A117,-1))=0,"",IF(D117&lt;SUMIFS($D$6:$D$400,$B$6:$B$400,B117,$A$6:$A$400,EOMONTH(A117,-1)),"Dropped","")))</f>
        <v/>
      </c>
      <c r="S117" s="41" t="str">
        <f aca="false">IF(B117="","",B117&amp;"|"&amp;(YEAR(A117)*100+MONTH(A117)))</f>
        <v/>
      </c>
    </row>
    <row r="118" customFormat="false" ht="15" hidden="false" customHeight="false" outlineLevel="0" collapsed="false">
      <c r="A118" s="37"/>
      <c r="C118" s="0" t="str">
        <f aca="false">IF(B118="","",IFERROR(INDEX(Project_Register!$B$6:$B$40,MATCH(B118,Project_Register!$A$6:$A$40,0)),"Unknown ID"))</f>
        <v/>
      </c>
      <c r="D118" s="38"/>
      <c r="E118" s="24"/>
      <c r="F118" s="24"/>
      <c r="G118" s="39"/>
      <c r="J118" s="39"/>
      <c r="K118" s="38" t="str">
        <f aca="false">IF(OR(B118="",T118="On Hold"),"",MAX(0,MIN(1,(A118-INDEX(Project_Register!$G$6:$G$40,MATCH(B118,Project_Register!$A$6:$A$40,0)))/(INDEX(Project_Register!$H$6:$H$40,MATCH(B118,Project_Register!$A$6:$A$40,0))-INDEX(Project_Register!$G$6:$G$40,MATCH(B118,Project_Register!$A$6:$A$40,0))))))</f>
        <v/>
      </c>
      <c r="L118" s="40" t="str">
        <f aca="false">IF(OR(B118="",D118="",T118="On Hold"),"",ROUND((D118-K118)*100,0))</f>
        <v/>
      </c>
      <c r="M118" s="38" t="str">
        <f aca="false">IF(OR(B118="",F118=""),"",F118/INDEX(Project_Register!$I$6:$I$40,MATCH(B118,Project_Register!$A$6:$A$40,0)))</f>
        <v/>
      </c>
      <c r="N118" s="40" t="str">
        <f aca="false">IF(OR(B118="",G118="",T118="On Hold"),"",G118-INDEX(Project_Register!$H$6:$H$40,MATCH(B118,Project_Register!$A$6:$A$40,0)))</f>
        <v/>
      </c>
      <c r="O118" s="0" t="str">
        <f aca="false">IF(B118="","",IF(D118="","No update",IF(AND(T118&lt;&gt;"Active",D118&lt;1),T118,IF(D118&gt;=1,"Complete",IF(OR(L118&lt;=SV_Red,M118&gt;Cost_Red,N118&gt;Slip_Red),"Red",IF(OR(L118&lt;=SV_Amber,M118&gt;Cost_Amber,N118&gt;Slip_Amber),"Amber","Green"))))))</f>
        <v/>
      </c>
      <c r="P118" s="0" t="str">
        <f aca="false">IF(AND(H118="Green",OR(O118="Amber",O118="Red")),"Watermelon","")</f>
        <v/>
      </c>
      <c r="Q118" s="0" t="str">
        <f aca="false">IF(B118="","",IF(J118="","Missing",IF(J118&gt;A118+UpdateDue,"Late","On time")))</f>
        <v/>
      </c>
      <c r="R118" s="0" t="str">
        <f aca="false">IF(OR(B118="",D118=""),"",IF(COUNTIFS($B$6:$B$400,B118,$A$6:$A$400,EOMONTH(A118,-1))=0,"",IF(D118&lt;SUMIFS($D$6:$D$400,$B$6:$B$400,B118,$A$6:$A$400,EOMONTH(A118,-1)),"Dropped","")))</f>
        <v/>
      </c>
      <c r="S118" s="41" t="str">
        <f aca="false">IF(B118="","",B118&amp;"|"&amp;(YEAR(A118)*100+MONTH(A118)))</f>
        <v/>
      </c>
    </row>
    <row r="119" customFormat="false" ht="15" hidden="false" customHeight="false" outlineLevel="0" collapsed="false">
      <c r="A119" s="37"/>
      <c r="C119" s="0" t="str">
        <f aca="false">IF(B119="","",IFERROR(INDEX(Project_Register!$B$6:$B$40,MATCH(B119,Project_Register!$A$6:$A$40,0)),"Unknown ID"))</f>
        <v/>
      </c>
      <c r="D119" s="38"/>
      <c r="E119" s="24"/>
      <c r="F119" s="24"/>
      <c r="G119" s="39"/>
      <c r="J119" s="39"/>
      <c r="K119" s="38" t="str">
        <f aca="false">IF(OR(B119="",T119="On Hold"),"",MAX(0,MIN(1,(A119-INDEX(Project_Register!$G$6:$G$40,MATCH(B119,Project_Register!$A$6:$A$40,0)))/(INDEX(Project_Register!$H$6:$H$40,MATCH(B119,Project_Register!$A$6:$A$40,0))-INDEX(Project_Register!$G$6:$G$40,MATCH(B119,Project_Register!$A$6:$A$40,0))))))</f>
        <v/>
      </c>
      <c r="L119" s="40" t="str">
        <f aca="false">IF(OR(B119="",D119="",T119="On Hold"),"",ROUND((D119-K119)*100,0))</f>
        <v/>
      </c>
      <c r="M119" s="38" t="str">
        <f aca="false">IF(OR(B119="",F119=""),"",F119/INDEX(Project_Register!$I$6:$I$40,MATCH(B119,Project_Register!$A$6:$A$40,0)))</f>
        <v/>
      </c>
      <c r="N119" s="40" t="str">
        <f aca="false">IF(OR(B119="",G119="",T119="On Hold"),"",G119-INDEX(Project_Register!$H$6:$H$40,MATCH(B119,Project_Register!$A$6:$A$40,0)))</f>
        <v/>
      </c>
      <c r="O119" s="0" t="str">
        <f aca="false">IF(B119="","",IF(D119="","No update",IF(AND(T119&lt;&gt;"Active",D119&lt;1),T119,IF(D119&gt;=1,"Complete",IF(OR(L119&lt;=SV_Red,M119&gt;Cost_Red,N119&gt;Slip_Red),"Red",IF(OR(L119&lt;=SV_Amber,M119&gt;Cost_Amber,N119&gt;Slip_Amber),"Amber","Green"))))))</f>
        <v/>
      </c>
      <c r="P119" s="0" t="str">
        <f aca="false">IF(AND(H119="Green",OR(O119="Amber",O119="Red")),"Watermelon","")</f>
        <v/>
      </c>
      <c r="Q119" s="0" t="str">
        <f aca="false">IF(B119="","",IF(J119="","Missing",IF(J119&gt;A119+UpdateDue,"Late","On time")))</f>
        <v/>
      </c>
      <c r="R119" s="0" t="str">
        <f aca="false">IF(OR(B119="",D119=""),"",IF(COUNTIFS($B$6:$B$400,B119,$A$6:$A$400,EOMONTH(A119,-1))=0,"",IF(D119&lt;SUMIFS($D$6:$D$400,$B$6:$B$400,B119,$A$6:$A$400,EOMONTH(A119,-1)),"Dropped","")))</f>
        <v/>
      </c>
      <c r="S119" s="41" t="str">
        <f aca="false">IF(B119="","",B119&amp;"|"&amp;(YEAR(A119)*100+MONTH(A119)))</f>
        <v/>
      </c>
    </row>
    <row r="120" customFormat="false" ht="15" hidden="false" customHeight="false" outlineLevel="0" collapsed="false">
      <c r="A120" s="37"/>
      <c r="C120" s="0" t="str">
        <f aca="false">IF(B120="","",IFERROR(INDEX(Project_Register!$B$6:$B$40,MATCH(B120,Project_Register!$A$6:$A$40,0)),"Unknown ID"))</f>
        <v/>
      </c>
      <c r="D120" s="38"/>
      <c r="E120" s="24"/>
      <c r="F120" s="24"/>
      <c r="G120" s="39"/>
      <c r="J120" s="39"/>
      <c r="K120" s="38" t="str">
        <f aca="false">IF(OR(B120="",T120="On Hold"),"",MAX(0,MIN(1,(A120-INDEX(Project_Register!$G$6:$G$40,MATCH(B120,Project_Register!$A$6:$A$40,0)))/(INDEX(Project_Register!$H$6:$H$40,MATCH(B120,Project_Register!$A$6:$A$40,0))-INDEX(Project_Register!$G$6:$G$40,MATCH(B120,Project_Register!$A$6:$A$40,0))))))</f>
        <v/>
      </c>
      <c r="L120" s="40" t="str">
        <f aca="false">IF(OR(B120="",D120="",T120="On Hold"),"",ROUND((D120-K120)*100,0))</f>
        <v/>
      </c>
      <c r="M120" s="38" t="str">
        <f aca="false">IF(OR(B120="",F120=""),"",F120/INDEX(Project_Register!$I$6:$I$40,MATCH(B120,Project_Register!$A$6:$A$40,0)))</f>
        <v/>
      </c>
      <c r="N120" s="40" t="str">
        <f aca="false">IF(OR(B120="",G120="",T120="On Hold"),"",G120-INDEX(Project_Register!$H$6:$H$40,MATCH(B120,Project_Register!$A$6:$A$40,0)))</f>
        <v/>
      </c>
      <c r="O120" s="0" t="str">
        <f aca="false">IF(B120="","",IF(D120="","No update",IF(AND(T120&lt;&gt;"Active",D120&lt;1),T120,IF(D120&gt;=1,"Complete",IF(OR(L120&lt;=SV_Red,M120&gt;Cost_Red,N120&gt;Slip_Red),"Red",IF(OR(L120&lt;=SV_Amber,M120&gt;Cost_Amber,N120&gt;Slip_Amber),"Amber","Green"))))))</f>
        <v/>
      </c>
      <c r="P120" s="0" t="str">
        <f aca="false">IF(AND(H120="Green",OR(O120="Amber",O120="Red")),"Watermelon","")</f>
        <v/>
      </c>
      <c r="Q120" s="0" t="str">
        <f aca="false">IF(B120="","",IF(J120="","Missing",IF(J120&gt;A120+UpdateDue,"Late","On time")))</f>
        <v/>
      </c>
      <c r="R120" s="0" t="str">
        <f aca="false">IF(OR(B120="",D120=""),"",IF(COUNTIFS($B$6:$B$400,B120,$A$6:$A$400,EOMONTH(A120,-1))=0,"",IF(D120&lt;SUMIFS($D$6:$D$400,$B$6:$B$400,B120,$A$6:$A$400,EOMONTH(A120,-1)),"Dropped","")))</f>
        <v/>
      </c>
      <c r="S120" s="41" t="str">
        <f aca="false">IF(B120="","",B120&amp;"|"&amp;(YEAR(A120)*100+MONTH(A120)))</f>
        <v/>
      </c>
    </row>
    <row r="121" customFormat="false" ht="15" hidden="false" customHeight="false" outlineLevel="0" collapsed="false">
      <c r="A121" s="37"/>
      <c r="C121" s="0" t="str">
        <f aca="false">IF(B121="","",IFERROR(INDEX(Project_Register!$B$6:$B$40,MATCH(B121,Project_Register!$A$6:$A$40,0)),"Unknown ID"))</f>
        <v/>
      </c>
      <c r="D121" s="38"/>
      <c r="E121" s="24"/>
      <c r="F121" s="24"/>
      <c r="G121" s="39"/>
      <c r="J121" s="39"/>
      <c r="K121" s="38" t="str">
        <f aca="false">IF(OR(B121="",T121="On Hold"),"",MAX(0,MIN(1,(A121-INDEX(Project_Register!$G$6:$G$40,MATCH(B121,Project_Register!$A$6:$A$40,0)))/(INDEX(Project_Register!$H$6:$H$40,MATCH(B121,Project_Register!$A$6:$A$40,0))-INDEX(Project_Register!$G$6:$G$40,MATCH(B121,Project_Register!$A$6:$A$40,0))))))</f>
        <v/>
      </c>
      <c r="L121" s="40" t="str">
        <f aca="false">IF(OR(B121="",D121="",T121="On Hold"),"",ROUND((D121-K121)*100,0))</f>
        <v/>
      </c>
      <c r="M121" s="38" t="str">
        <f aca="false">IF(OR(B121="",F121=""),"",F121/INDEX(Project_Register!$I$6:$I$40,MATCH(B121,Project_Register!$A$6:$A$40,0)))</f>
        <v/>
      </c>
      <c r="N121" s="40" t="str">
        <f aca="false">IF(OR(B121="",G121="",T121="On Hold"),"",G121-INDEX(Project_Register!$H$6:$H$40,MATCH(B121,Project_Register!$A$6:$A$40,0)))</f>
        <v/>
      </c>
      <c r="O121" s="0" t="str">
        <f aca="false">IF(B121="","",IF(D121="","No update",IF(AND(T121&lt;&gt;"Active",D121&lt;1),T121,IF(D121&gt;=1,"Complete",IF(OR(L121&lt;=SV_Red,M121&gt;Cost_Red,N121&gt;Slip_Red),"Red",IF(OR(L121&lt;=SV_Amber,M121&gt;Cost_Amber,N121&gt;Slip_Amber),"Amber","Green"))))))</f>
        <v/>
      </c>
      <c r="P121" s="0" t="str">
        <f aca="false">IF(AND(H121="Green",OR(O121="Amber",O121="Red")),"Watermelon","")</f>
        <v/>
      </c>
      <c r="Q121" s="0" t="str">
        <f aca="false">IF(B121="","",IF(J121="","Missing",IF(J121&gt;A121+UpdateDue,"Late","On time")))</f>
        <v/>
      </c>
      <c r="R121" s="0" t="str">
        <f aca="false">IF(OR(B121="",D121=""),"",IF(COUNTIFS($B$6:$B$400,B121,$A$6:$A$400,EOMONTH(A121,-1))=0,"",IF(D121&lt;SUMIFS($D$6:$D$400,$B$6:$B$400,B121,$A$6:$A$400,EOMONTH(A121,-1)),"Dropped","")))</f>
        <v/>
      </c>
      <c r="S121" s="41" t="str">
        <f aca="false">IF(B121="","",B121&amp;"|"&amp;(YEAR(A121)*100+MONTH(A121)))</f>
        <v/>
      </c>
    </row>
    <row r="122" customFormat="false" ht="15" hidden="false" customHeight="false" outlineLevel="0" collapsed="false">
      <c r="A122" s="37"/>
      <c r="C122" s="0" t="str">
        <f aca="false">IF(B122="","",IFERROR(INDEX(Project_Register!$B$6:$B$40,MATCH(B122,Project_Register!$A$6:$A$40,0)),"Unknown ID"))</f>
        <v/>
      </c>
      <c r="D122" s="38"/>
      <c r="E122" s="24"/>
      <c r="F122" s="24"/>
      <c r="G122" s="39"/>
      <c r="J122" s="39"/>
      <c r="K122" s="38" t="str">
        <f aca="false">IF(OR(B122="",T122="On Hold"),"",MAX(0,MIN(1,(A122-INDEX(Project_Register!$G$6:$G$40,MATCH(B122,Project_Register!$A$6:$A$40,0)))/(INDEX(Project_Register!$H$6:$H$40,MATCH(B122,Project_Register!$A$6:$A$40,0))-INDEX(Project_Register!$G$6:$G$40,MATCH(B122,Project_Register!$A$6:$A$40,0))))))</f>
        <v/>
      </c>
      <c r="L122" s="40" t="str">
        <f aca="false">IF(OR(B122="",D122="",T122="On Hold"),"",ROUND((D122-K122)*100,0))</f>
        <v/>
      </c>
      <c r="M122" s="38" t="str">
        <f aca="false">IF(OR(B122="",F122=""),"",F122/INDEX(Project_Register!$I$6:$I$40,MATCH(B122,Project_Register!$A$6:$A$40,0)))</f>
        <v/>
      </c>
      <c r="N122" s="40" t="str">
        <f aca="false">IF(OR(B122="",G122="",T122="On Hold"),"",G122-INDEX(Project_Register!$H$6:$H$40,MATCH(B122,Project_Register!$A$6:$A$40,0)))</f>
        <v/>
      </c>
      <c r="O122" s="0" t="str">
        <f aca="false">IF(B122="","",IF(D122="","No update",IF(AND(T122&lt;&gt;"Active",D122&lt;1),T122,IF(D122&gt;=1,"Complete",IF(OR(L122&lt;=SV_Red,M122&gt;Cost_Red,N122&gt;Slip_Red),"Red",IF(OR(L122&lt;=SV_Amber,M122&gt;Cost_Amber,N122&gt;Slip_Amber),"Amber","Green"))))))</f>
        <v/>
      </c>
      <c r="P122" s="0" t="str">
        <f aca="false">IF(AND(H122="Green",OR(O122="Amber",O122="Red")),"Watermelon","")</f>
        <v/>
      </c>
      <c r="Q122" s="0" t="str">
        <f aca="false">IF(B122="","",IF(J122="","Missing",IF(J122&gt;A122+UpdateDue,"Late","On time")))</f>
        <v/>
      </c>
      <c r="R122" s="0" t="str">
        <f aca="false">IF(OR(B122="",D122=""),"",IF(COUNTIFS($B$6:$B$400,B122,$A$6:$A$400,EOMONTH(A122,-1))=0,"",IF(D122&lt;SUMIFS($D$6:$D$400,$B$6:$B$400,B122,$A$6:$A$400,EOMONTH(A122,-1)),"Dropped","")))</f>
        <v/>
      </c>
      <c r="S122" s="41" t="str">
        <f aca="false">IF(B122="","",B122&amp;"|"&amp;(YEAR(A122)*100+MONTH(A122)))</f>
        <v/>
      </c>
    </row>
    <row r="123" customFormat="false" ht="15" hidden="false" customHeight="false" outlineLevel="0" collapsed="false">
      <c r="A123" s="37"/>
      <c r="C123" s="0" t="str">
        <f aca="false">IF(B123="","",IFERROR(INDEX(Project_Register!$B$6:$B$40,MATCH(B123,Project_Register!$A$6:$A$40,0)),"Unknown ID"))</f>
        <v/>
      </c>
      <c r="D123" s="38"/>
      <c r="E123" s="24"/>
      <c r="F123" s="24"/>
      <c r="G123" s="39"/>
      <c r="J123" s="39"/>
      <c r="K123" s="38" t="str">
        <f aca="false">IF(OR(B123="",T123="On Hold"),"",MAX(0,MIN(1,(A123-INDEX(Project_Register!$G$6:$G$40,MATCH(B123,Project_Register!$A$6:$A$40,0)))/(INDEX(Project_Register!$H$6:$H$40,MATCH(B123,Project_Register!$A$6:$A$40,0))-INDEX(Project_Register!$G$6:$G$40,MATCH(B123,Project_Register!$A$6:$A$40,0))))))</f>
        <v/>
      </c>
      <c r="L123" s="40" t="str">
        <f aca="false">IF(OR(B123="",D123="",T123="On Hold"),"",ROUND((D123-K123)*100,0))</f>
        <v/>
      </c>
      <c r="M123" s="38" t="str">
        <f aca="false">IF(OR(B123="",F123=""),"",F123/INDEX(Project_Register!$I$6:$I$40,MATCH(B123,Project_Register!$A$6:$A$40,0)))</f>
        <v/>
      </c>
      <c r="N123" s="40" t="str">
        <f aca="false">IF(OR(B123="",G123="",T123="On Hold"),"",G123-INDEX(Project_Register!$H$6:$H$40,MATCH(B123,Project_Register!$A$6:$A$40,0)))</f>
        <v/>
      </c>
      <c r="O123" s="0" t="str">
        <f aca="false">IF(B123="","",IF(D123="","No update",IF(AND(T123&lt;&gt;"Active",D123&lt;1),T123,IF(D123&gt;=1,"Complete",IF(OR(L123&lt;=SV_Red,M123&gt;Cost_Red,N123&gt;Slip_Red),"Red",IF(OR(L123&lt;=SV_Amber,M123&gt;Cost_Amber,N123&gt;Slip_Amber),"Amber","Green"))))))</f>
        <v/>
      </c>
      <c r="P123" s="0" t="str">
        <f aca="false">IF(AND(H123="Green",OR(O123="Amber",O123="Red")),"Watermelon","")</f>
        <v/>
      </c>
      <c r="Q123" s="0" t="str">
        <f aca="false">IF(B123="","",IF(J123="","Missing",IF(J123&gt;A123+UpdateDue,"Late","On time")))</f>
        <v/>
      </c>
      <c r="R123" s="0" t="str">
        <f aca="false">IF(OR(B123="",D123=""),"",IF(COUNTIFS($B$6:$B$400,B123,$A$6:$A$400,EOMONTH(A123,-1))=0,"",IF(D123&lt;SUMIFS($D$6:$D$400,$B$6:$B$400,B123,$A$6:$A$400,EOMONTH(A123,-1)),"Dropped","")))</f>
        <v/>
      </c>
      <c r="S123" s="41" t="str">
        <f aca="false">IF(B123="","",B123&amp;"|"&amp;(YEAR(A123)*100+MONTH(A123)))</f>
        <v/>
      </c>
    </row>
    <row r="124" customFormat="false" ht="15" hidden="false" customHeight="false" outlineLevel="0" collapsed="false">
      <c r="A124" s="37"/>
      <c r="C124" s="0" t="str">
        <f aca="false">IF(B124="","",IFERROR(INDEX(Project_Register!$B$6:$B$40,MATCH(B124,Project_Register!$A$6:$A$40,0)),"Unknown ID"))</f>
        <v/>
      </c>
      <c r="D124" s="38"/>
      <c r="E124" s="24"/>
      <c r="F124" s="24"/>
      <c r="G124" s="39"/>
      <c r="J124" s="39"/>
      <c r="K124" s="38" t="str">
        <f aca="false">IF(OR(B124="",T124="On Hold"),"",MAX(0,MIN(1,(A124-INDEX(Project_Register!$G$6:$G$40,MATCH(B124,Project_Register!$A$6:$A$40,0)))/(INDEX(Project_Register!$H$6:$H$40,MATCH(B124,Project_Register!$A$6:$A$40,0))-INDEX(Project_Register!$G$6:$G$40,MATCH(B124,Project_Register!$A$6:$A$40,0))))))</f>
        <v/>
      </c>
      <c r="L124" s="40" t="str">
        <f aca="false">IF(OR(B124="",D124="",T124="On Hold"),"",ROUND((D124-K124)*100,0))</f>
        <v/>
      </c>
      <c r="M124" s="38" t="str">
        <f aca="false">IF(OR(B124="",F124=""),"",F124/INDEX(Project_Register!$I$6:$I$40,MATCH(B124,Project_Register!$A$6:$A$40,0)))</f>
        <v/>
      </c>
      <c r="N124" s="40" t="str">
        <f aca="false">IF(OR(B124="",G124="",T124="On Hold"),"",G124-INDEX(Project_Register!$H$6:$H$40,MATCH(B124,Project_Register!$A$6:$A$40,0)))</f>
        <v/>
      </c>
      <c r="O124" s="0" t="str">
        <f aca="false">IF(B124="","",IF(D124="","No update",IF(AND(T124&lt;&gt;"Active",D124&lt;1),T124,IF(D124&gt;=1,"Complete",IF(OR(L124&lt;=SV_Red,M124&gt;Cost_Red,N124&gt;Slip_Red),"Red",IF(OR(L124&lt;=SV_Amber,M124&gt;Cost_Amber,N124&gt;Slip_Amber),"Amber","Green"))))))</f>
        <v/>
      </c>
      <c r="P124" s="0" t="str">
        <f aca="false">IF(AND(H124="Green",OR(O124="Amber",O124="Red")),"Watermelon","")</f>
        <v/>
      </c>
      <c r="Q124" s="0" t="str">
        <f aca="false">IF(B124="","",IF(J124="","Missing",IF(J124&gt;A124+UpdateDue,"Late","On time")))</f>
        <v/>
      </c>
      <c r="R124" s="0" t="str">
        <f aca="false">IF(OR(B124="",D124=""),"",IF(COUNTIFS($B$6:$B$400,B124,$A$6:$A$400,EOMONTH(A124,-1))=0,"",IF(D124&lt;SUMIFS($D$6:$D$400,$B$6:$B$400,B124,$A$6:$A$400,EOMONTH(A124,-1)),"Dropped","")))</f>
        <v/>
      </c>
      <c r="S124" s="41" t="str">
        <f aca="false">IF(B124="","",B124&amp;"|"&amp;(YEAR(A124)*100+MONTH(A124)))</f>
        <v/>
      </c>
    </row>
    <row r="125" customFormat="false" ht="15" hidden="false" customHeight="false" outlineLevel="0" collapsed="false">
      <c r="A125" s="37"/>
      <c r="C125" s="0" t="str">
        <f aca="false">IF(B125="","",IFERROR(INDEX(Project_Register!$B$6:$B$40,MATCH(B125,Project_Register!$A$6:$A$40,0)),"Unknown ID"))</f>
        <v/>
      </c>
      <c r="D125" s="38"/>
      <c r="E125" s="24"/>
      <c r="F125" s="24"/>
      <c r="G125" s="39"/>
      <c r="J125" s="39"/>
      <c r="K125" s="38" t="str">
        <f aca="false">IF(OR(B125="",T125="On Hold"),"",MAX(0,MIN(1,(A125-INDEX(Project_Register!$G$6:$G$40,MATCH(B125,Project_Register!$A$6:$A$40,0)))/(INDEX(Project_Register!$H$6:$H$40,MATCH(B125,Project_Register!$A$6:$A$40,0))-INDEX(Project_Register!$G$6:$G$40,MATCH(B125,Project_Register!$A$6:$A$40,0))))))</f>
        <v/>
      </c>
      <c r="L125" s="40" t="str">
        <f aca="false">IF(OR(B125="",D125="",T125="On Hold"),"",ROUND((D125-K125)*100,0))</f>
        <v/>
      </c>
      <c r="M125" s="38" t="str">
        <f aca="false">IF(OR(B125="",F125=""),"",F125/INDEX(Project_Register!$I$6:$I$40,MATCH(B125,Project_Register!$A$6:$A$40,0)))</f>
        <v/>
      </c>
      <c r="N125" s="40" t="str">
        <f aca="false">IF(OR(B125="",G125="",T125="On Hold"),"",G125-INDEX(Project_Register!$H$6:$H$40,MATCH(B125,Project_Register!$A$6:$A$40,0)))</f>
        <v/>
      </c>
      <c r="O125" s="0" t="str">
        <f aca="false">IF(B125="","",IF(D125="","No update",IF(AND(T125&lt;&gt;"Active",D125&lt;1),T125,IF(D125&gt;=1,"Complete",IF(OR(L125&lt;=SV_Red,M125&gt;Cost_Red,N125&gt;Slip_Red),"Red",IF(OR(L125&lt;=SV_Amber,M125&gt;Cost_Amber,N125&gt;Slip_Amber),"Amber","Green"))))))</f>
        <v/>
      </c>
      <c r="P125" s="0" t="str">
        <f aca="false">IF(AND(H125="Green",OR(O125="Amber",O125="Red")),"Watermelon","")</f>
        <v/>
      </c>
      <c r="Q125" s="0" t="str">
        <f aca="false">IF(B125="","",IF(J125="","Missing",IF(J125&gt;A125+UpdateDue,"Late","On time")))</f>
        <v/>
      </c>
      <c r="R125" s="0" t="str">
        <f aca="false">IF(OR(B125="",D125=""),"",IF(COUNTIFS($B$6:$B$400,B125,$A$6:$A$400,EOMONTH(A125,-1))=0,"",IF(D125&lt;SUMIFS($D$6:$D$400,$B$6:$B$400,B125,$A$6:$A$400,EOMONTH(A125,-1)),"Dropped","")))</f>
        <v/>
      </c>
      <c r="S125" s="41" t="str">
        <f aca="false">IF(B125="","",B125&amp;"|"&amp;(YEAR(A125)*100+MONTH(A125)))</f>
        <v/>
      </c>
    </row>
    <row r="126" customFormat="false" ht="15" hidden="false" customHeight="false" outlineLevel="0" collapsed="false">
      <c r="A126" s="37"/>
      <c r="C126" s="0" t="str">
        <f aca="false">IF(B126="","",IFERROR(INDEX(Project_Register!$B$6:$B$40,MATCH(B126,Project_Register!$A$6:$A$40,0)),"Unknown ID"))</f>
        <v/>
      </c>
      <c r="D126" s="38"/>
      <c r="E126" s="24"/>
      <c r="F126" s="24"/>
      <c r="G126" s="39"/>
      <c r="J126" s="39"/>
      <c r="K126" s="38" t="str">
        <f aca="false">IF(OR(B126="",T126="On Hold"),"",MAX(0,MIN(1,(A126-INDEX(Project_Register!$G$6:$G$40,MATCH(B126,Project_Register!$A$6:$A$40,0)))/(INDEX(Project_Register!$H$6:$H$40,MATCH(B126,Project_Register!$A$6:$A$40,0))-INDEX(Project_Register!$G$6:$G$40,MATCH(B126,Project_Register!$A$6:$A$40,0))))))</f>
        <v/>
      </c>
      <c r="L126" s="40" t="str">
        <f aca="false">IF(OR(B126="",D126="",T126="On Hold"),"",ROUND((D126-K126)*100,0))</f>
        <v/>
      </c>
      <c r="M126" s="38" t="str">
        <f aca="false">IF(OR(B126="",F126=""),"",F126/INDEX(Project_Register!$I$6:$I$40,MATCH(B126,Project_Register!$A$6:$A$40,0)))</f>
        <v/>
      </c>
      <c r="N126" s="40" t="str">
        <f aca="false">IF(OR(B126="",G126="",T126="On Hold"),"",G126-INDEX(Project_Register!$H$6:$H$40,MATCH(B126,Project_Register!$A$6:$A$40,0)))</f>
        <v/>
      </c>
      <c r="O126" s="0" t="str">
        <f aca="false">IF(B126="","",IF(D126="","No update",IF(AND(T126&lt;&gt;"Active",D126&lt;1),T126,IF(D126&gt;=1,"Complete",IF(OR(L126&lt;=SV_Red,M126&gt;Cost_Red,N126&gt;Slip_Red),"Red",IF(OR(L126&lt;=SV_Amber,M126&gt;Cost_Amber,N126&gt;Slip_Amber),"Amber","Green"))))))</f>
        <v/>
      </c>
      <c r="P126" s="0" t="str">
        <f aca="false">IF(AND(H126="Green",OR(O126="Amber",O126="Red")),"Watermelon","")</f>
        <v/>
      </c>
      <c r="Q126" s="0" t="str">
        <f aca="false">IF(B126="","",IF(J126="","Missing",IF(J126&gt;A126+UpdateDue,"Late","On time")))</f>
        <v/>
      </c>
      <c r="R126" s="0" t="str">
        <f aca="false">IF(OR(B126="",D126=""),"",IF(COUNTIFS($B$6:$B$400,B126,$A$6:$A$400,EOMONTH(A126,-1))=0,"",IF(D126&lt;SUMIFS($D$6:$D$400,$B$6:$B$400,B126,$A$6:$A$400,EOMONTH(A126,-1)),"Dropped","")))</f>
        <v/>
      </c>
      <c r="S126" s="41" t="str">
        <f aca="false">IF(B126="","",B126&amp;"|"&amp;(YEAR(A126)*100+MONTH(A126)))</f>
        <v/>
      </c>
    </row>
    <row r="127" customFormat="false" ht="15" hidden="false" customHeight="false" outlineLevel="0" collapsed="false">
      <c r="A127" s="37"/>
      <c r="C127" s="0" t="str">
        <f aca="false">IF(B127="","",IFERROR(INDEX(Project_Register!$B$6:$B$40,MATCH(B127,Project_Register!$A$6:$A$40,0)),"Unknown ID"))</f>
        <v/>
      </c>
      <c r="D127" s="38"/>
      <c r="E127" s="24"/>
      <c r="F127" s="24"/>
      <c r="G127" s="39"/>
      <c r="J127" s="39"/>
      <c r="K127" s="38" t="str">
        <f aca="false">IF(OR(B127="",T127="On Hold"),"",MAX(0,MIN(1,(A127-INDEX(Project_Register!$G$6:$G$40,MATCH(B127,Project_Register!$A$6:$A$40,0)))/(INDEX(Project_Register!$H$6:$H$40,MATCH(B127,Project_Register!$A$6:$A$40,0))-INDEX(Project_Register!$G$6:$G$40,MATCH(B127,Project_Register!$A$6:$A$40,0))))))</f>
        <v/>
      </c>
      <c r="L127" s="40" t="str">
        <f aca="false">IF(OR(B127="",D127="",T127="On Hold"),"",ROUND((D127-K127)*100,0))</f>
        <v/>
      </c>
      <c r="M127" s="38" t="str">
        <f aca="false">IF(OR(B127="",F127=""),"",F127/INDEX(Project_Register!$I$6:$I$40,MATCH(B127,Project_Register!$A$6:$A$40,0)))</f>
        <v/>
      </c>
      <c r="N127" s="40" t="str">
        <f aca="false">IF(OR(B127="",G127="",T127="On Hold"),"",G127-INDEX(Project_Register!$H$6:$H$40,MATCH(B127,Project_Register!$A$6:$A$40,0)))</f>
        <v/>
      </c>
      <c r="O127" s="0" t="str">
        <f aca="false">IF(B127="","",IF(D127="","No update",IF(AND(T127&lt;&gt;"Active",D127&lt;1),T127,IF(D127&gt;=1,"Complete",IF(OR(L127&lt;=SV_Red,M127&gt;Cost_Red,N127&gt;Slip_Red),"Red",IF(OR(L127&lt;=SV_Amber,M127&gt;Cost_Amber,N127&gt;Slip_Amber),"Amber","Green"))))))</f>
        <v/>
      </c>
      <c r="P127" s="0" t="str">
        <f aca="false">IF(AND(H127="Green",OR(O127="Amber",O127="Red")),"Watermelon","")</f>
        <v/>
      </c>
      <c r="Q127" s="0" t="str">
        <f aca="false">IF(B127="","",IF(J127="","Missing",IF(J127&gt;A127+UpdateDue,"Late","On time")))</f>
        <v/>
      </c>
      <c r="R127" s="0" t="str">
        <f aca="false">IF(OR(B127="",D127=""),"",IF(COUNTIFS($B$6:$B$400,B127,$A$6:$A$400,EOMONTH(A127,-1))=0,"",IF(D127&lt;SUMIFS($D$6:$D$400,$B$6:$B$400,B127,$A$6:$A$400,EOMONTH(A127,-1)),"Dropped","")))</f>
        <v/>
      </c>
      <c r="S127" s="41" t="str">
        <f aca="false">IF(B127="","",B127&amp;"|"&amp;(YEAR(A127)*100+MONTH(A127)))</f>
        <v/>
      </c>
    </row>
    <row r="128" customFormat="false" ht="15" hidden="false" customHeight="false" outlineLevel="0" collapsed="false">
      <c r="A128" s="37"/>
      <c r="C128" s="0" t="str">
        <f aca="false">IF(B128="","",IFERROR(INDEX(Project_Register!$B$6:$B$40,MATCH(B128,Project_Register!$A$6:$A$40,0)),"Unknown ID"))</f>
        <v/>
      </c>
      <c r="D128" s="38"/>
      <c r="E128" s="24"/>
      <c r="F128" s="24"/>
      <c r="G128" s="39"/>
      <c r="J128" s="39"/>
      <c r="K128" s="38" t="str">
        <f aca="false">IF(OR(B128="",T128="On Hold"),"",MAX(0,MIN(1,(A128-INDEX(Project_Register!$G$6:$G$40,MATCH(B128,Project_Register!$A$6:$A$40,0)))/(INDEX(Project_Register!$H$6:$H$40,MATCH(B128,Project_Register!$A$6:$A$40,0))-INDEX(Project_Register!$G$6:$G$40,MATCH(B128,Project_Register!$A$6:$A$40,0))))))</f>
        <v/>
      </c>
      <c r="L128" s="40" t="str">
        <f aca="false">IF(OR(B128="",D128="",T128="On Hold"),"",ROUND((D128-K128)*100,0))</f>
        <v/>
      </c>
      <c r="M128" s="38" t="str">
        <f aca="false">IF(OR(B128="",F128=""),"",F128/INDEX(Project_Register!$I$6:$I$40,MATCH(B128,Project_Register!$A$6:$A$40,0)))</f>
        <v/>
      </c>
      <c r="N128" s="40" t="str">
        <f aca="false">IF(OR(B128="",G128="",T128="On Hold"),"",G128-INDEX(Project_Register!$H$6:$H$40,MATCH(B128,Project_Register!$A$6:$A$40,0)))</f>
        <v/>
      </c>
      <c r="O128" s="0" t="str">
        <f aca="false">IF(B128="","",IF(D128="","No update",IF(AND(T128&lt;&gt;"Active",D128&lt;1),T128,IF(D128&gt;=1,"Complete",IF(OR(L128&lt;=SV_Red,M128&gt;Cost_Red,N128&gt;Slip_Red),"Red",IF(OR(L128&lt;=SV_Amber,M128&gt;Cost_Amber,N128&gt;Slip_Amber),"Amber","Green"))))))</f>
        <v/>
      </c>
      <c r="P128" s="0" t="str">
        <f aca="false">IF(AND(H128="Green",OR(O128="Amber",O128="Red")),"Watermelon","")</f>
        <v/>
      </c>
      <c r="Q128" s="0" t="str">
        <f aca="false">IF(B128="","",IF(J128="","Missing",IF(J128&gt;A128+UpdateDue,"Late","On time")))</f>
        <v/>
      </c>
      <c r="R128" s="0" t="str">
        <f aca="false">IF(OR(B128="",D128=""),"",IF(COUNTIFS($B$6:$B$400,B128,$A$6:$A$400,EOMONTH(A128,-1))=0,"",IF(D128&lt;SUMIFS($D$6:$D$400,$B$6:$B$400,B128,$A$6:$A$400,EOMONTH(A128,-1)),"Dropped","")))</f>
        <v/>
      </c>
      <c r="S128" s="41" t="str">
        <f aca="false">IF(B128="","",B128&amp;"|"&amp;(YEAR(A128)*100+MONTH(A128)))</f>
        <v/>
      </c>
    </row>
    <row r="129" customFormat="false" ht="15" hidden="false" customHeight="false" outlineLevel="0" collapsed="false">
      <c r="A129" s="37"/>
      <c r="C129" s="0" t="str">
        <f aca="false">IF(B129="","",IFERROR(INDEX(Project_Register!$B$6:$B$40,MATCH(B129,Project_Register!$A$6:$A$40,0)),"Unknown ID"))</f>
        <v/>
      </c>
      <c r="D129" s="38"/>
      <c r="E129" s="24"/>
      <c r="F129" s="24"/>
      <c r="G129" s="39"/>
      <c r="J129" s="39"/>
      <c r="K129" s="38" t="str">
        <f aca="false">IF(OR(B129="",T129="On Hold"),"",MAX(0,MIN(1,(A129-INDEX(Project_Register!$G$6:$G$40,MATCH(B129,Project_Register!$A$6:$A$40,0)))/(INDEX(Project_Register!$H$6:$H$40,MATCH(B129,Project_Register!$A$6:$A$40,0))-INDEX(Project_Register!$G$6:$G$40,MATCH(B129,Project_Register!$A$6:$A$40,0))))))</f>
        <v/>
      </c>
      <c r="L129" s="40" t="str">
        <f aca="false">IF(OR(B129="",D129="",T129="On Hold"),"",ROUND((D129-K129)*100,0))</f>
        <v/>
      </c>
      <c r="M129" s="38" t="str">
        <f aca="false">IF(OR(B129="",F129=""),"",F129/INDEX(Project_Register!$I$6:$I$40,MATCH(B129,Project_Register!$A$6:$A$40,0)))</f>
        <v/>
      </c>
      <c r="N129" s="40" t="str">
        <f aca="false">IF(OR(B129="",G129="",T129="On Hold"),"",G129-INDEX(Project_Register!$H$6:$H$40,MATCH(B129,Project_Register!$A$6:$A$40,0)))</f>
        <v/>
      </c>
      <c r="O129" s="0" t="str">
        <f aca="false">IF(B129="","",IF(D129="","No update",IF(AND(T129&lt;&gt;"Active",D129&lt;1),T129,IF(D129&gt;=1,"Complete",IF(OR(L129&lt;=SV_Red,M129&gt;Cost_Red,N129&gt;Slip_Red),"Red",IF(OR(L129&lt;=SV_Amber,M129&gt;Cost_Amber,N129&gt;Slip_Amber),"Amber","Green"))))))</f>
        <v/>
      </c>
      <c r="P129" s="0" t="str">
        <f aca="false">IF(AND(H129="Green",OR(O129="Amber",O129="Red")),"Watermelon","")</f>
        <v/>
      </c>
      <c r="Q129" s="0" t="str">
        <f aca="false">IF(B129="","",IF(J129="","Missing",IF(J129&gt;A129+UpdateDue,"Late","On time")))</f>
        <v/>
      </c>
      <c r="R129" s="0" t="str">
        <f aca="false">IF(OR(B129="",D129=""),"",IF(COUNTIFS($B$6:$B$400,B129,$A$6:$A$400,EOMONTH(A129,-1))=0,"",IF(D129&lt;SUMIFS($D$6:$D$400,$B$6:$B$400,B129,$A$6:$A$400,EOMONTH(A129,-1)),"Dropped","")))</f>
        <v/>
      </c>
      <c r="S129" s="41" t="str">
        <f aca="false">IF(B129="","",B129&amp;"|"&amp;(YEAR(A129)*100+MONTH(A129)))</f>
        <v/>
      </c>
    </row>
    <row r="130" customFormat="false" ht="15" hidden="false" customHeight="false" outlineLevel="0" collapsed="false">
      <c r="A130" s="37"/>
      <c r="C130" s="0" t="str">
        <f aca="false">IF(B130="","",IFERROR(INDEX(Project_Register!$B$6:$B$40,MATCH(B130,Project_Register!$A$6:$A$40,0)),"Unknown ID"))</f>
        <v/>
      </c>
      <c r="D130" s="38"/>
      <c r="E130" s="24"/>
      <c r="F130" s="24"/>
      <c r="G130" s="39"/>
      <c r="J130" s="39"/>
      <c r="K130" s="38" t="str">
        <f aca="false">IF(OR(B130="",T130="On Hold"),"",MAX(0,MIN(1,(A130-INDEX(Project_Register!$G$6:$G$40,MATCH(B130,Project_Register!$A$6:$A$40,0)))/(INDEX(Project_Register!$H$6:$H$40,MATCH(B130,Project_Register!$A$6:$A$40,0))-INDEX(Project_Register!$G$6:$G$40,MATCH(B130,Project_Register!$A$6:$A$40,0))))))</f>
        <v/>
      </c>
      <c r="L130" s="40" t="str">
        <f aca="false">IF(OR(B130="",D130="",T130="On Hold"),"",ROUND((D130-K130)*100,0))</f>
        <v/>
      </c>
      <c r="M130" s="38" t="str">
        <f aca="false">IF(OR(B130="",F130=""),"",F130/INDEX(Project_Register!$I$6:$I$40,MATCH(B130,Project_Register!$A$6:$A$40,0)))</f>
        <v/>
      </c>
      <c r="N130" s="40" t="str">
        <f aca="false">IF(OR(B130="",G130="",T130="On Hold"),"",G130-INDEX(Project_Register!$H$6:$H$40,MATCH(B130,Project_Register!$A$6:$A$40,0)))</f>
        <v/>
      </c>
      <c r="O130" s="0" t="str">
        <f aca="false">IF(B130="","",IF(D130="","No update",IF(AND(T130&lt;&gt;"Active",D130&lt;1),T130,IF(D130&gt;=1,"Complete",IF(OR(L130&lt;=SV_Red,M130&gt;Cost_Red,N130&gt;Slip_Red),"Red",IF(OR(L130&lt;=SV_Amber,M130&gt;Cost_Amber,N130&gt;Slip_Amber),"Amber","Green"))))))</f>
        <v/>
      </c>
      <c r="P130" s="0" t="str">
        <f aca="false">IF(AND(H130="Green",OR(O130="Amber",O130="Red")),"Watermelon","")</f>
        <v/>
      </c>
      <c r="Q130" s="0" t="str">
        <f aca="false">IF(B130="","",IF(J130="","Missing",IF(J130&gt;A130+UpdateDue,"Late","On time")))</f>
        <v/>
      </c>
      <c r="R130" s="0" t="str">
        <f aca="false">IF(OR(B130="",D130=""),"",IF(COUNTIFS($B$6:$B$400,B130,$A$6:$A$400,EOMONTH(A130,-1))=0,"",IF(D130&lt;SUMIFS($D$6:$D$400,$B$6:$B$400,B130,$A$6:$A$400,EOMONTH(A130,-1)),"Dropped","")))</f>
        <v/>
      </c>
      <c r="S130" s="41" t="str">
        <f aca="false">IF(B130="","",B130&amp;"|"&amp;(YEAR(A130)*100+MONTH(A130)))</f>
        <v/>
      </c>
    </row>
    <row r="131" customFormat="false" ht="15" hidden="false" customHeight="false" outlineLevel="0" collapsed="false">
      <c r="A131" s="37"/>
      <c r="C131" s="0" t="str">
        <f aca="false">IF(B131="","",IFERROR(INDEX(Project_Register!$B$6:$B$40,MATCH(B131,Project_Register!$A$6:$A$40,0)),"Unknown ID"))</f>
        <v/>
      </c>
      <c r="D131" s="38"/>
      <c r="E131" s="24"/>
      <c r="F131" s="24"/>
      <c r="G131" s="39"/>
      <c r="J131" s="39"/>
      <c r="K131" s="38" t="str">
        <f aca="false">IF(OR(B131="",T131="On Hold"),"",MAX(0,MIN(1,(A131-INDEX(Project_Register!$G$6:$G$40,MATCH(B131,Project_Register!$A$6:$A$40,0)))/(INDEX(Project_Register!$H$6:$H$40,MATCH(B131,Project_Register!$A$6:$A$40,0))-INDEX(Project_Register!$G$6:$G$40,MATCH(B131,Project_Register!$A$6:$A$40,0))))))</f>
        <v/>
      </c>
      <c r="L131" s="40" t="str">
        <f aca="false">IF(OR(B131="",D131="",T131="On Hold"),"",ROUND((D131-K131)*100,0))</f>
        <v/>
      </c>
      <c r="M131" s="38" t="str">
        <f aca="false">IF(OR(B131="",F131=""),"",F131/INDEX(Project_Register!$I$6:$I$40,MATCH(B131,Project_Register!$A$6:$A$40,0)))</f>
        <v/>
      </c>
      <c r="N131" s="40" t="str">
        <f aca="false">IF(OR(B131="",G131="",T131="On Hold"),"",G131-INDEX(Project_Register!$H$6:$H$40,MATCH(B131,Project_Register!$A$6:$A$40,0)))</f>
        <v/>
      </c>
      <c r="O131" s="0" t="str">
        <f aca="false">IF(B131="","",IF(D131="","No update",IF(AND(T131&lt;&gt;"Active",D131&lt;1),T131,IF(D131&gt;=1,"Complete",IF(OR(L131&lt;=SV_Red,M131&gt;Cost_Red,N131&gt;Slip_Red),"Red",IF(OR(L131&lt;=SV_Amber,M131&gt;Cost_Amber,N131&gt;Slip_Amber),"Amber","Green"))))))</f>
        <v/>
      </c>
      <c r="P131" s="0" t="str">
        <f aca="false">IF(AND(H131="Green",OR(O131="Amber",O131="Red")),"Watermelon","")</f>
        <v/>
      </c>
      <c r="Q131" s="0" t="str">
        <f aca="false">IF(B131="","",IF(J131="","Missing",IF(J131&gt;A131+UpdateDue,"Late","On time")))</f>
        <v/>
      </c>
      <c r="R131" s="0" t="str">
        <f aca="false">IF(OR(B131="",D131=""),"",IF(COUNTIFS($B$6:$B$400,B131,$A$6:$A$400,EOMONTH(A131,-1))=0,"",IF(D131&lt;SUMIFS($D$6:$D$400,$B$6:$B$400,B131,$A$6:$A$400,EOMONTH(A131,-1)),"Dropped","")))</f>
        <v/>
      </c>
      <c r="S131" s="41" t="str">
        <f aca="false">IF(B131="","",B131&amp;"|"&amp;(YEAR(A131)*100+MONTH(A131)))</f>
        <v/>
      </c>
    </row>
    <row r="132" customFormat="false" ht="15" hidden="false" customHeight="false" outlineLevel="0" collapsed="false">
      <c r="A132" s="37"/>
      <c r="C132" s="0" t="str">
        <f aca="false">IF(B132="","",IFERROR(INDEX(Project_Register!$B$6:$B$40,MATCH(B132,Project_Register!$A$6:$A$40,0)),"Unknown ID"))</f>
        <v/>
      </c>
      <c r="D132" s="38"/>
      <c r="E132" s="24"/>
      <c r="F132" s="24"/>
      <c r="G132" s="39"/>
      <c r="J132" s="39"/>
      <c r="K132" s="38" t="str">
        <f aca="false">IF(OR(B132="",T132="On Hold"),"",MAX(0,MIN(1,(A132-INDEX(Project_Register!$G$6:$G$40,MATCH(B132,Project_Register!$A$6:$A$40,0)))/(INDEX(Project_Register!$H$6:$H$40,MATCH(B132,Project_Register!$A$6:$A$40,0))-INDEX(Project_Register!$G$6:$G$40,MATCH(B132,Project_Register!$A$6:$A$40,0))))))</f>
        <v/>
      </c>
      <c r="L132" s="40" t="str">
        <f aca="false">IF(OR(B132="",D132="",T132="On Hold"),"",ROUND((D132-K132)*100,0))</f>
        <v/>
      </c>
      <c r="M132" s="38" t="str">
        <f aca="false">IF(OR(B132="",F132=""),"",F132/INDEX(Project_Register!$I$6:$I$40,MATCH(B132,Project_Register!$A$6:$A$40,0)))</f>
        <v/>
      </c>
      <c r="N132" s="40" t="str">
        <f aca="false">IF(OR(B132="",G132="",T132="On Hold"),"",G132-INDEX(Project_Register!$H$6:$H$40,MATCH(B132,Project_Register!$A$6:$A$40,0)))</f>
        <v/>
      </c>
      <c r="O132" s="0" t="str">
        <f aca="false">IF(B132="","",IF(D132="","No update",IF(AND(T132&lt;&gt;"Active",D132&lt;1),T132,IF(D132&gt;=1,"Complete",IF(OR(L132&lt;=SV_Red,M132&gt;Cost_Red,N132&gt;Slip_Red),"Red",IF(OR(L132&lt;=SV_Amber,M132&gt;Cost_Amber,N132&gt;Slip_Amber),"Amber","Green"))))))</f>
        <v/>
      </c>
      <c r="P132" s="0" t="str">
        <f aca="false">IF(AND(H132="Green",OR(O132="Amber",O132="Red")),"Watermelon","")</f>
        <v/>
      </c>
      <c r="Q132" s="0" t="str">
        <f aca="false">IF(B132="","",IF(J132="","Missing",IF(J132&gt;A132+UpdateDue,"Late","On time")))</f>
        <v/>
      </c>
      <c r="R132" s="0" t="str">
        <f aca="false">IF(OR(B132="",D132=""),"",IF(COUNTIFS($B$6:$B$400,B132,$A$6:$A$400,EOMONTH(A132,-1))=0,"",IF(D132&lt;SUMIFS($D$6:$D$400,$B$6:$B$400,B132,$A$6:$A$400,EOMONTH(A132,-1)),"Dropped","")))</f>
        <v/>
      </c>
      <c r="S132" s="41" t="str">
        <f aca="false">IF(B132="","",B132&amp;"|"&amp;(YEAR(A132)*100+MONTH(A132)))</f>
        <v/>
      </c>
    </row>
    <row r="133" customFormat="false" ht="15" hidden="false" customHeight="false" outlineLevel="0" collapsed="false">
      <c r="A133" s="37"/>
      <c r="C133" s="0" t="str">
        <f aca="false">IF(B133="","",IFERROR(INDEX(Project_Register!$B$6:$B$40,MATCH(B133,Project_Register!$A$6:$A$40,0)),"Unknown ID"))</f>
        <v/>
      </c>
      <c r="D133" s="38"/>
      <c r="E133" s="24"/>
      <c r="F133" s="24"/>
      <c r="G133" s="39"/>
      <c r="J133" s="39"/>
      <c r="K133" s="38" t="str">
        <f aca="false">IF(OR(B133="",T133="On Hold"),"",MAX(0,MIN(1,(A133-INDEX(Project_Register!$G$6:$G$40,MATCH(B133,Project_Register!$A$6:$A$40,0)))/(INDEX(Project_Register!$H$6:$H$40,MATCH(B133,Project_Register!$A$6:$A$40,0))-INDEX(Project_Register!$G$6:$G$40,MATCH(B133,Project_Register!$A$6:$A$40,0))))))</f>
        <v/>
      </c>
      <c r="L133" s="40" t="str">
        <f aca="false">IF(OR(B133="",D133="",T133="On Hold"),"",ROUND((D133-K133)*100,0))</f>
        <v/>
      </c>
      <c r="M133" s="38" t="str">
        <f aca="false">IF(OR(B133="",F133=""),"",F133/INDEX(Project_Register!$I$6:$I$40,MATCH(B133,Project_Register!$A$6:$A$40,0)))</f>
        <v/>
      </c>
      <c r="N133" s="40" t="str">
        <f aca="false">IF(OR(B133="",G133="",T133="On Hold"),"",G133-INDEX(Project_Register!$H$6:$H$40,MATCH(B133,Project_Register!$A$6:$A$40,0)))</f>
        <v/>
      </c>
      <c r="O133" s="0" t="str">
        <f aca="false">IF(B133="","",IF(D133="","No update",IF(AND(T133&lt;&gt;"Active",D133&lt;1),T133,IF(D133&gt;=1,"Complete",IF(OR(L133&lt;=SV_Red,M133&gt;Cost_Red,N133&gt;Slip_Red),"Red",IF(OR(L133&lt;=SV_Amber,M133&gt;Cost_Amber,N133&gt;Slip_Amber),"Amber","Green"))))))</f>
        <v/>
      </c>
      <c r="P133" s="0" t="str">
        <f aca="false">IF(AND(H133="Green",OR(O133="Amber",O133="Red")),"Watermelon","")</f>
        <v/>
      </c>
      <c r="Q133" s="0" t="str">
        <f aca="false">IF(B133="","",IF(J133="","Missing",IF(J133&gt;A133+UpdateDue,"Late","On time")))</f>
        <v/>
      </c>
      <c r="R133" s="0" t="str">
        <f aca="false">IF(OR(B133="",D133=""),"",IF(COUNTIFS($B$6:$B$400,B133,$A$6:$A$400,EOMONTH(A133,-1))=0,"",IF(D133&lt;SUMIFS($D$6:$D$400,$B$6:$B$400,B133,$A$6:$A$400,EOMONTH(A133,-1)),"Dropped","")))</f>
        <v/>
      </c>
      <c r="S133" s="41" t="str">
        <f aca="false">IF(B133="","",B133&amp;"|"&amp;(YEAR(A133)*100+MONTH(A133)))</f>
        <v/>
      </c>
    </row>
    <row r="134" customFormat="false" ht="15" hidden="false" customHeight="false" outlineLevel="0" collapsed="false">
      <c r="A134" s="37"/>
      <c r="C134" s="0" t="str">
        <f aca="false">IF(B134="","",IFERROR(INDEX(Project_Register!$B$6:$B$40,MATCH(B134,Project_Register!$A$6:$A$40,0)),"Unknown ID"))</f>
        <v/>
      </c>
      <c r="D134" s="38"/>
      <c r="E134" s="24"/>
      <c r="F134" s="24"/>
      <c r="G134" s="39"/>
      <c r="J134" s="39"/>
      <c r="K134" s="38" t="str">
        <f aca="false">IF(OR(B134="",T134="On Hold"),"",MAX(0,MIN(1,(A134-INDEX(Project_Register!$G$6:$G$40,MATCH(B134,Project_Register!$A$6:$A$40,0)))/(INDEX(Project_Register!$H$6:$H$40,MATCH(B134,Project_Register!$A$6:$A$40,0))-INDEX(Project_Register!$G$6:$G$40,MATCH(B134,Project_Register!$A$6:$A$40,0))))))</f>
        <v/>
      </c>
      <c r="L134" s="40" t="str">
        <f aca="false">IF(OR(B134="",D134="",T134="On Hold"),"",ROUND((D134-K134)*100,0))</f>
        <v/>
      </c>
      <c r="M134" s="38" t="str">
        <f aca="false">IF(OR(B134="",F134=""),"",F134/INDEX(Project_Register!$I$6:$I$40,MATCH(B134,Project_Register!$A$6:$A$40,0)))</f>
        <v/>
      </c>
      <c r="N134" s="40" t="str">
        <f aca="false">IF(OR(B134="",G134="",T134="On Hold"),"",G134-INDEX(Project_Register!$H$6:$H$40,MATCH(B134,Project_Register!$A$6:$A$40,0)))</f>
        <v/>
      </c>
      <c r="O134" s="0" t="str">
        <f aca="false">IF(B134="","",IF(D134="","No update",IF(AND(T134&lt;&gt;"Active",D134&lt;1),T134,IF(D134&gt;=1,"Complete",IF(OR(L134&lt;=SV_Red,M134&gt;Cost_Red,N134&gt;Slip_Red),"Red",IF(OR(L134&lt;=SV_Amber,M134&gt;Cost_Amber,N134&gt;Slip_Amber),"Amber","Green"))))))</f>
        <v/>
      </c>
      <c r="P134" s="0" t="str">
        <f aca="false">IF(AND(H134="Green",OR(O134="Amber",O134="Red")),"Watermelon","")</f>
        <v/>
      </c>
      <c r="Q134" s="0" t="str">
        <f aca="false">IF(B134="","",IF(J134="","Missing",IF(J134&gt;A134+UpdateDue,"Late","On time")))</f>
        <v/>
      </c>
      <c r="R134" s="0" t="str">
        <f aca="false">IF(OR(B134="",D134=""),"",IF(COUNTIFS($B$6:$B$400,B134,$A$6:$A$400,EOMONTH(A134,-1))=0,"",IF(D134&lt;SUMIFS($D$6:$D$400,$B$6:$B$400,B134,$A$6:$A$400,EOMONTH(A134,-1)),"Dropped","")))</f>
        <v/>
      </c>
      <c r="S134" s="41" t="str">
        <f aca="false">IF(B134="","",B134&amp;"|"&amp;(YEAR(A134)*100+MONTH(A134)))</f>
        <v/>
      </c>
    </row>
    <row r="135" customFormat="false" ht="15" hidden="false" customHeight="false" outlineLevel="0" collapsed="false">
      <c r="A135" s="37"/>
      <c r="C135" s="0" t="str">
        <f aca="false">IF(B135="","",IFERROR(INDEX(Project_Register!$B$6:$B$40,MATCH(B135,Project_Register!$A$6:$A$40,0)),"Unknown ID"))</f>
        <v/>
      </c>
      <c r="D135" s="38"/>
      <c r="E135" s="24"/>
      <c r="F135" s="24"/>
      <c r="G135" s="39"/>
      <c r="J135" s="39"/>
      <c r="K135" s="38" t="str">
        <f aca="false">IF(OR(B135="",T135="On Hold"),"",MAX(0,MIN(1,(A135-INDEX(Project_Register!$G$6:$G$40,MATCH(B135,Project_Register!$A$6:$A$40,0)))/(INDEX(Project_Register!$H$6:$H$40,MATCH(B135,Project_Register!$A$6:$A$40,0))-INDEX(Project_Register!$G$6:$G$40,MATCH(B135,Project_Register!$A$6:$A$40,0))))))</f>
        <v/>
      </c>
      <c r="L135" s="40" t="str">
        <f aca="false">IF(OR(B135="",D135="",T135="On Hold"),"",ROUND((D135-K135)*100,0))</f>
        <v/>
      </c>
      <c r="M135" s="38" t="str">
        <f aca="false">IF(OR(B135="",F135=""),"",F135/INDEX(Project_Register!$I$6:$I$40,MATCH(B135,Project_Register!$A$6:$A$40,0)))</f>
        <v/>
      </c>
      <c r="N135" s="40" t="str">
        <f aca="false">IF(OR(B135="",G135="",T135="On Hold"),"",G135-INDEX(Project_Register!$H$6:$H$40,MATCH(B135,Project_Register!$A$6:$A$40,0)))</f>
        <v/>
      </c>
      <c r="O135" s="0" t="str">
        <f aca="false">IF(B135="","",IF(D135="","No update",IF(AND(T135&lt;&gt;"Active",D135&lt;1),T135,IF(D135&gt;=1,"Complete",IF(OR(L135&lt;=SV_Red,M135&gt;Cost_Red,N135&gt;Slip_Red),"Red",IF(OR(L135&lt;=SV_Amber,M135&gt;Cost_Amber,N135&gt;Slip_Amber),"Amber","Green"))))))</f>
        <v/>
      </c>
      <c r="P135" s="0" t="str">
        <f aca="false">IF(AND(H135="Green",OR(O135="Amber",O135="Red")),"Watermelon","")</f>
        <v/>
      </c>
      <c r="Q135" s="0" t="str">
        <f aca="false">IF(B135="","",IF(J135="","Missing",IF(J135&gt;A135+UpdateDue,"Late","On time")))</f>
        <v/>
      </c>
      <c r="R135" s="0" t="str">
        <f aca="false">IF(OR(B135="",D135=""),"",IF(COUNTIFS($B$6:$B$400,B135,$A$6:$A$400,EOMONTH(A135,-1))=0,"",IF(D135&lt;SUMIFS($D$6:$D$400,$B$6:$B$400,B135,$A$6:$A$400,EOMONTH(A135,-1)),"Dropped","")))</f>
        <v/>
      </c>
      <c r="S135" s="41" t="str">
        <f aca="false">IF(B135="","",B135&amp;"|"&amp;(YEAR(A135)*100+MONTH(A135)))</f>
        <v/>
      </c>
    </row>
    <row r="136" customFormat="false" ht="15" hidden="false" customHeight="false" outlineLevel="0" collapsed="false">
      <c r="A136" s="37"/>
      <c r="C136" s="0" t="str">
        <f aca="false">IF(B136="","",IFERROR(INDEX(Project_Register!$B$6:$B$40,MATCH(B136,Project_Register!$A$6:$A$40,0)),"Unknown ID"))</f>
        <v/>
      </c>
      <c r="D136" s="38"/>
      <c r="E136" s="24"/>
      <c r="F136" s="24"/>
      <c r="G136" s="39"/>
      <c r="J136" s="39"/>
      <c r="K136" s="38" t="str">
        <f aca="false">IF(OR(B136="",T136="On Hold"),"",MAX(0,MIN(1,(A136-INDEX(Project_Register!$G$6:$G$40,MATCH(B136,Project_Register!$A$6:$A$40,0)))/(INDEX(Project_Register!$H$6:$H$40,MATCH(B136,Project_Register!$A$6:$A$40,0))-INDEX(Project_Register!$G$6:$G$40,MATCH(B136,Project_Register!$A$6:$A$40,0))))))</f>
        <v/>
      </c>
      <c r="L136" s="40" t="str">
        <f aca="false">IF(OR(B136="",D136="",T136="On Hold"),"",ROUND((D136-K136)*100,0))</f>
        <v/>
      </c>
      <c r="M136" s="38" t="str">
        <f aca="false">IF(OR(B136="",F136=""),"",F136/INDEX(Project_Register!$I$6:$I$40,MATCH(B136,Project_Register!$A$6:$A$40,0)))</f>
        <v/>
      </c>
      <c r="N136" s="40" t="str">
        <f aca="false">IF(OR(B136="",G136="",T136="On Hold"),"",G136-INDEX(Project_Register!$H$6:$H$40,MATCH(B136,Project_Register!$A$6:$A$40,0)))</f>
        <v/>
      </c>
      <c r="O136" s="0" t="str">
        <f aca="false">IF(B136="","",IF(D136="","No update",IF(AND(T136&lt;&gt;"Active",D136&lt;1),T136,IF(D136&gt;=1,"Complete",IF(OR(L136&lt;=SV_Red,M136&gt;Cost_Red,N136&gt;Slip_Red),"Red",IF(OR(L136&lt;=SV_Amber,M136&gt;Cost_Amber,N136&gt;Slip_Amber),"Amber","Green"))))))</f>
        <v/>
      </c>
      <c r="P136" s="0" t="str">
        <f aca="false">IF(AND(H136="Green",OR(O136="Amber",O136="Red")),"Watermelon","")</f>
        <v/>
      </c>
      <c r="Q136" s="0" t="str">
        <f aca="false">IF(B136="","",IF(J136="","Missing",IF(J136&gt;A136+UpdateDue,"Late","On time")))</f>
        <v/>
      </c>
      <c r="R136" s="0" t="str">
        <f aca="false">IF(OR(B136="",D136=""),"",IF(COUNTIFS($B$6:$B$400,B136,$A$6:$A$400,EOMONTH(A136,-1))=0,"",IF(D136&lt;SUMIFS($D$6:$D$400,$B$6:$B$400,B136,$A$6:$A$400,EOMONTH(A136,-1)),"Dropped","")))</f>
        <v/>
      </c>
      <c r="S136" s="41" t="str">
        <f aca="false">IF(B136="","",B136&amp;"|"&amp;(YEAR(A136)*100+MONTH(A136)))</f>
        <v/>
      </c>
    </row>
    <row r="137" customFormat="false" ht="15" hidden="false" customHeight="false" outlineLevel="0" collapsed="false">
      <c r="A137" s="37"/>
      <c r="C137" s="0" t="str">
        <f aca="false">IF(B137="","",IFERROR(INDEX(Project_Register!$B$6:$B$40,MATCH(B137,Project_Register!$A$6:$A$40,0)),"Unknown ID"))</f>
        <v/>
      </c>
      <c r="D137" s="38"/>
      <c r="E137" s="24"/>
      <c r="F137" s="24"/>
      <c r="G137" s="39"/>
      <c r="J137" s="39"/>
      <c r="K137" s="38" t="str">
        <f aca="false">IF(OR(B137="",T137="On Hold"),"",MAX(0,MIN(1,(A137-INDEX(Project_Register!$G$6:$G$40,MATCH(B137,Project_Register!$A$6:$A$40,0)))/(INDEX(Project_Register!$H$6:$H$40,MATCH(B137,Project_Register!$A$6:$A$40,0))-INDEX(Project_Register!$G$6:$G$40,MATCH(B137,Project_Register!$A$6:$A$40,0))))))</f>
        <v/>
      </c>
      <c r="L137" s="40" t="str">
        <f aca="false">IF(OR(B137="",D137="",T137="On Hold"),"",ROUND((D137-K137)*100,0))</f>
        <v/>
      </c>
      <c r="M137" s="38" t="str">
        <f aca="false">IF(OR(B137="",F137=""),"",F137/INDEX(Project_Register!$I$6:$I$40,MATCH(B137,Project_Register!$A$6:$A$40,0)))</f>
        <v/>
      </c>
      <c r="N137" s="40" t="str">
        <f aca="false">IF(OR(B137="",G137="",T137="On Hold"),"",G137-INDEX(Project_Register!$H$6:$H$40,MATCH(B137,Project_Register!$A$6:$A$40,0)))</f>
        <v/>
      </c>
      <c r="O137" s="0" t="str">
        <f aca="false">IF(B137="","",IF(D137="","No update",IF(AND(T137&lt;&gt;"Active",D137&lt;1),T137,IF(D137&gt;=1,"Complete",IF(OR(L137&lt;=SV_Red,M137&gt;Cost_Red,N137&gt;Slip_Red),"Red",IF(OR(L137&lt;=SV_Amber,M137&gt;Cost_Amber,N137&gt;Slip_Amber),"Amber","Green"))))))</f>
        <v/>
      </c>
      <c r="P137" s="0" t="str">
        <f aca="false">IF(AND(H137="Green",OR(O137="Amber",O137="Red")),"Watermelon","")</f>
        <v/>
      </c>
      <c r="Q137" s="0" t="str">
        <f aca="false">IF(B137="","",IF(J137="","Missing",IF(J137&gt;A137+UpdateDue,"Late","On time")))</f>
        <v/>
      </c>
      <c r="R137" s="0" t="str">
        <f aca="false">IF(OR(B137="",D137=""),"",IF(COUNTIFS($B$6:$B$400,B137,$A$6:$A$400,EOMONTH(A137,-1))=0,"",IF(D137&lt;SUMIFS($D$6:$D$400,$B$6:$B$400,B137,$A$6:$A$400,EOMONTH(A137,-1)),"Dropped","")))</f>
        <v/>
      </c>
      <c r="S137" s="41" t="str">
        <f aca="false">IF(B137="","",B137&amp;"|"&amp;(YEAR(A137)*100+MONTH(A137)))</f>
        <v/>
      </c>
    </row>
    <row r="138" customFormat="false" ht="15" hidden="false" customHeight="false" outlineLevel="0" collapsed="false">
      <c r="A138" s="37"/>
      <c r="C138" s="0" t="str">
        <f aca="false">IF(B138="","",IFERROR(INDEX(Project_Register!$B$6:$B$40,MATCH(B138,Project_Register!$A$6:$A$40,0)),"Unknown ID"))</f>
        <v/>
      </c>
      <c r="D138" s="38"/>
      <c r="E138" s="24"/>
      <c r="F138" s="24"/>
      <c r="G138" s="39"/>
      <c r="J138" s="39"/>
      <c r="K138" s="38" t="str">
        <f aca="false">IF(OR(B138="",T138="On Hold"),"",MAX(0,MIN(1,(A138-INDEX(Project_Register!$G$6:$G$40,MATCH(B138,Project_Register!$A$6:$A$40,0)))/(INDEX(Project_Register!$H$6:$H$40,MATCH(B138,Project_Register!$A$6:$A$40,0))-INDEX(Project_Register!$G$6:$G$40,MATCH(B138,Project_Register!$A$6:$A$40,0))))))</f>
        <v/>
      </c>
      <c r="L138" s="40" t="str">
        <f aca="false">IF(OR(B138="",D138="",T138="On Hold"),"",ROUND((D138-K138)*100,0))</f>
        <v/>
      </c>
      <c r="M138" s="38" t="str">
        <f aca="false">IF(OR(B138="",F138=""),"",F138/INDEX(Project_Register!$I$6:$I$40,MATCH(B138,Project_Register!$A$6:$A$40,0)))</f>
        <v/>
      </c>
      <c r="N138" s="40" t="str">
        <f aca="false">IF(OR(B138="",G138="",T138="On Hold"),"",G138-INDEX(Project_Register!$H$6:$H$40,MATCH(B138,Project_Register!$A$6:$A$40,0)))</f>
        <v/>
      </c>
      <c r="O138" s="0" t="str">
        <f aca="false">IF(B138="","",IF(D138="","No update",IF(AND(T138&lt;&gt;"Active",D138&lt;1),T138,IF(D138&gt;=1,"Complete",IF(OR(L138&lt;=SV_Red,M138&gt;Cost_Red,N138&gt;Slip_Red),"Red",IF(OR(L138&lt;=SV_Amber,M138&gt;Cost_Amber,N138&gt;Slip_Amber),"Amber","Green"))))))</f>
        <v/>
      </c>
      <c r="P138" s="0" t="str">
        <f aca="false">IF(AND(H138="Green",OR(O138="Amber",O138="Red")),"Watermelon","")</f>
        <v/>
      </c>
      <c r="Q138" s="0" t="str">
        <f aca="false">IF(B138="","",IF(J138="","Missing",IF(J138&gt;A138+UpdateDue,"Late","On time")))</f>
        <v/>
      </c>
      <c r="R138" s="0" t="str">
        <f aca="false">IF(OR(B138="",D138=""),"",IF(COUNTIFS($B$6:$B$400,B138,$A$6:$A$400,EOMONTH(A138,-1))=0,"",IF(D138&lt;SUMIFS($D$6:$D$400,$B$6:$B$400,B138,$A$6:$A$400,EOMONTH(A138,-1)),"Dropped","")))</f>
        <v/>
      </c>
      <c r="S138" s="41" t="str">
        <f aca="false">IF(B138="","",B138&amp;"|"&amp;(YEAR(A138)*100+MONTH(A138)))</f>
        <v/>
      </c>
    </row>
    <row r="139" customFormat="false" ht="15" hidden="false" customHeight="false" outlineLevel="0" collapsed="false">
      <c r="A139" s="37"/>
      <c r="C139" s="0" t="str">
        <f aca="false">IF(B139="","",IFERROR(INDEX(Project_Register!$B$6:$B$40,MATCH(B139,Project_Register!$A$6:$A$40,0)),"Unknown ID"))</f>
        <v/>
      </c>
      <c r="D139" s="38"/>
      <c r="E139" s="24"/>
      <c r="F139" s="24"/>
      <c r="G139" s="39"/>
      <c r="J139" s="39"/>
      <c r="K139" s="38" t="str">
        <f aca="false">IF(OR(B139="",T139="On Hold"),"",MAX(0,MIN(1,(A139-INDEX(Project_Register!$G$6:$G$40,MATCH(B139,Project_Register!$A$6:$A$40,0)))/(INDEX(Project_Register!$H$6:$H$40,MATCH(B139,Project_Register!$A$6:$A$40,0))-INDEX(Project_Register!$G$6:$G$40,MATCH(B139,Project_Register!$A$6:$A$40,0))))))</f>
        <v/>
      </c>
      <c r="L139" s="40" t="str">
        <f aca="false">IF(OR(B139="",D139="",T139="On Hold"),"",ROUND((D139-K139)*100,0))</f>
        <v/>
      </c>
      <c r="M139" s="38" t="str">
        <f aca="false">IF(OR(B139="",F139=""),"",F139/INDEX(Project_Register!$I$6:$I$40,MATCH(B139,Project_Register!$A$6:$A$40,0)))</f>
        <v/>
      </c>
      <c r="N139" s="40" t="str">
        <f aca="false">IF(OR(B139="",G139="",T139="On Hold"),"",G139-INDEX(Project_Register!$H$6:$H$40,MATCH(B139,Project_Register!$A$6:$A$40,0)))</f>
        <v/>
      </c>
      <c r="O139" s="0" t="str">
        <f aca="false">IF(B139="","",IF(D139="","No update",IF(AND(T139&lt;&gt;"Active",D139&lt;1),T139,IF(D139&gt;=1,"Complete",IF(OR(L139&lt;=SV_Red,M139&gt;Cost_Red,N139&gt;Slip_Red),"Red",IF(OR(L139&lt;=SV_Amber,M139&gt;Cost_Amber,N139&gt;Slip_Amber),"Amber","Green"))))))</f>
        <v/>
      </c>
      <c r="P139" s="0" t="str">
        <f aca="false">IF(AND(H139="Green",OR(O139="Amber",O139="Red")),"Watermelon","")</f>
        <v/>
      </c>
      <c r="Q139" s="0" t="str">
        <f aca="false">IF(B139="","",IF(J139="","Missing",IF(J139&gt;A139+UpdateDue,"Late","On time")))</f>
        <v/>
      </c>
      <c r="R139" s="0" t="str">
        <f aca="false">IF(OR(B139="",D139=""),"",IF(COUNTIFS($B$6:$B$400,B139,$A$6:$A$400,EOMONTH(A139,-1))=0,"",IF(D139&lt;SUMIFS($D$6:$D$400,$B$6:$B$400,B139,$A$6:$A$400,EOMONTH(A139,-1)),"Dropped","")))</f>
        <v/>
      </c>
      <c r="S139" s="41" t="str">
        <f aca="false">IF(B139="","",B139&amp;"|"&amp;(YEAR(A139)*100+MONTH(A139)))</f>
        <v/>
      </c>
    </row>
    <row r="140" customFormat="false" ht="15" hidden="false" customHeight="false" outlineLevel="0" collapsed="false">
      <c r="A140" s="37"/>
      <c r="C140" s="0" t="str">
        <f aca="false">IF(B140="","",IFERROR(INDEX(Project_Register!$B$6:$B$40,MATCH(B140,Project_Register!$A$6:$A$40,0)),"Unknown ID"))</f>
        <v/>
      </c>
      <c r="D140" s="38"/>
      <c r="E140" s="24"/>
      <c r="F140" s="24"/>
      <c r="G140" s="39"/>
      <c r="J140" s="39"/>
      <c r="K140" s="38" t="str">
        <f aca="false">IF(OR(B140="",T140="On Hold"),"",MAX(0,MIN(1,(A140-INDEX(Project_Register!$G$6:$G$40,MATCH(B140,Project_Register!$A$6:$A$40,0)))/(INDEX(Project_Register!$H$6:$H$40,MATCH(B140,Project_Register!$A$6:$A$40,0))-INDEX(Project_Register!$G$6:$G$40,MATCH(B140,Project_Register!$A$6:$A$40,0))))))</f>
        <v/>
      </c>
      <c r="L140" s="40" t="str">
        <f aca="false">IF(OR(B140="",D140="",T140="On Hold"),"",ROUND((D140-K140)*100,0))</f>
        <v/>
      </c>
      <c r="M140" s="38" t="str">
        <f aca="false">IF(OR(B140="",F140=""),"",F140/INDEX(Project_Register!$I$6:$I$40,MATCH(B140,Project_Register!$A$6:$A$40,0)))</f>
        <v/>
      </c>
      <c r="N140" s="40" t="str">
        <f aca="false">IF(OR(B140="",G140="",T140="On Hold"),"",G140-INDEX(Project_Register!$H$6:$H$40,MATCH(B140,Project_Register!$A$6:$A$40,0)))</f>
        <v/>
      </c>
      <c r="O140" s="0" t="str">
        <f aca="false">IF(B140="","",IF(D140="","No update",IF(AND(T140&lt;&gt;"Active",D140&lt;1),T140,IF(D140&gt;=1,"Complete",IF(OR(L140&lt;=SV_Red,M140&gt;Cost_Red,N140&gt;Slip_Red),"Red",IF(OR(L140&lt;=SV_Amber,M140&gt;Cost_Amber,N140&gt;Slip_Amber),"Amber","Green"))))))</f>
        <v/>
      </c>
      <c r="P140" s="0" t="str">
        <f aca="false">IF(AND(H140="Green",OR(O140="Amber",O140="Red")),"Watermelon","")</f>
        <v/>
      </c>
      <c r="Q140" s="0" t="str">
        <f aca="false">IF(B140="","",IF(J140="","Missing",IF(J140&gt;A140+UpdateDue,"Late","On time")))</f>
        <v/>
      </c>
      <c r="R140" s="0" t="str">
        <f aca="false">IF(OR(B140="",D140=""),"",IF(COUNTIFS($B$6:$B$400,B140,$A$6:$A$400,EOMONTH(A140,-1))=0,"",IF(D140&lt;SUMIFS($D$6:$D$400,$B$6:$B$400,B140,$A$6:$A$400,EOMONTH(A140,-1)),"Dropped","")))</f>
        <v/>
      </c>
      <c r="S140" s="41" t="str">
        <f aca="false">IF(B140="","",B140&amp;"|"&amp;(YEAR(A140)*100+MONTH(A140)))</f>
        <v/>
      </c>
    </row>
    <row r="141" customFormat="false" ht="15" hidden="false" customHeight="false" outlineLevel="0" collapsed="false">
      <c r="A141" s="37"/>
      <c r="C141" s="0" t="str">
        <f aca="false">IF(B141="","",IFERROR(INDEX(Project_Register!$B$6:$B$40,MATCH(B141,Project_Register!$A$6:$A$40,0)),"Unknown ID"))</f>
        <v/>
      </c>
      <c r="D141" s="38"/>
      <c r="E141" s="24"/>
      <c r="F141" s="24"/>
      <c r="G141" s="39"/>
      <c r="J141" s="39"/>
      <c r="K141" s="38" t="str">
        <f aca="false">IF(OR(B141="",T141="On Hold"),"",MAX(0,MIN(1,(A141-INDEX(Project_Register!$G$6:$G$40,MATCH(B141,Project_Register!$A$6:$A$40,0)))/(INDEX(Project_Register!$H$6:$H$40,MATCH(B141,Project_Register!$A$6:$A$40,0))-INDEX(Project_Register!$G$6:$G$40,MATCH(B141,Project_Register!$A$6:$A$40,0))))))</f>
        <v/>
      </c>
      <c r="L141" s="40" t="str">
        <f aca="false">IF(OR(B141="",D141="",T141="On Hold"),"",ROUND((D141-K141)*100,0))</f>
        <v/>
      </c>
      <c r="M141" s="38" t="str">
        <f aca="false">IF(OR(B141="",F141=""),"",F141/INDEX(Project_Register!$I$6:$I$40,MATCH(B141,Project_Register!$A$6:$A$40,0)))</f>
        <v/>
      </c>
      <c r="N141" s="40" t="str">
        <f aca="false">IF(OR(B141="",G141="",T141="On Hold"),"",G141-INDEX(Project_Register!$H$6:$H$40,MATCH(B141,Project_Register!$A$6:$A$40,0)))</f>
        <v/>
      </c>
      <c r="O141" s="0" t="str">
        <f aca="false">IF(B141="","",IF(D141="","No update",IF(AND(T141&lt;&gt;"Active",D141&lt;1),T141,IF(D141&gt;=1,"Complete",IF(OR(L141&lt;=SV_Red,M141&gt;Cost_Red,N141&gt;Slip_Red),"Red",IF(OR(L141&lt;=SV_Amber,M141&gt;Cost_Amber,N141&gt;Slip_Amber),"Amber","Green"))))))</f>
        <v/>
      </c>
      <c r="P141" s="0" t="str">
        <f aca="false">IF(AND(H141="Green",OR(O141="Amber",O141="Red")),"Watermelon","")</f>
        <v/>
      </c>
      <c r="Q141" s="0" t="str">
        <f aca="false">IF(B141="","",IF(J141="","Missing",IF(J141&gt;A141+UpdateDue,"Late","On time")))</f>
        <v/>
      </c>
      <c r="R141" s="0" t="str">
        <f aca="false">IF(OR(B141="",D141=""),"",IF(COUNTIFS($B$6:$B$400,B141,$A$6:$A$400,EOMONTH(A141,-1))=0,"",IF(D141&lt;SUMIFS($D$6:$D$400,$B$6:$B$400,B141,$A$6:$A$400,EOMONTH(A141,-1)),"Dropped","")))</f>
        <v/>
      </c>
      <c r="S141" s="41" t="str">
        <f aca="false">IF(B141="","",B141&amp;"|"&amp;(YEAR(A141)*100+MONTH(A141)))</f>
        <v/>
      </c>
    </row>
    <row r="142" customFormat="false" ht="15" hidden="false" customHeight="false" outlineLevel="0" collapsed="false">
      <c r="A142" s="37"/>
      <c r="C142" s="0" t="str">
        <f aca="false">IF(B142="","",IFERROR(INDEX(Project_Register!$B$6:$B$40,MATCH(B142,Project_Register!$A$6:$A$40,0)),"Unknown ID"))</f>
        <v/>
      </c>
      <c r="D142" s="38"/>
      <c r="E142" s="24"/>
      <c r="F142" s="24"/>
      <c r="G142" s="39"/>
      <c r="J142" s="39"/>
      <c r="K142" s="38" t="str">
        <f aca="false">IF(OR(B142="",T142="On Hold"),"",MAX(0,MIN(1,(A142-INDEX(Project_Register!$G$6:$G$40,MATCH(B142,Project_Register!$A$6:$A$40,0)))/(INDEX(Project_Register!$H$6:$H$40,MATCH(B142,Project_Register!$A$6:$A$40,0))-INDEX(Project_Register!$G$6:$G$40,MATCH(B142,Project_Register!$A$6:$A$40,0))))))</f>
        <v/>
      </c>
      <c r="L142" s="40" t="str">
        <f aca="false">IF(OR(B142="",D142="",T142="On Hold"),"",ROUND((D142-K142)*100,0))</f>
        <v/>
      </c>
      <c r="M142" s="38" t="str">
        <f aca="false">IF(OR(B142="",F142=""),"",F142/INDEX(Project_Register!$I$6:$I$40,MATCH(B142,Project_Register!$A$6:$A$40,0)))</f>
        <v/>
      </c>
      <c r="N142" s="40" t="str">
        <f aca="false">IF(OR(B142="",G142="",T142="On Hold"),"",G142-INDEX(Project_Register!$H$6:$H$40,MATCH(B142,Project_Register!$A$6:$A$40,0)))</f>
        <v/>
      </c>
      <c r="O142" s="0" t="str">
        <f aca="false">IF(B142="","",IF(D142="","No update",IF(AND(T142&lt;&gt;"Active",D142&lt;1),T142,IF(D142&gt;=1,"Complete",IF(OR(L142&lt;=SV_Red,M142&gt;Cost_Red,N142&gt;Slip_Red),"Red",IF(OR(L142&lt;=SV_Amber,M142&gt;Cost_Amber,N142&gt;Slip_Amber),"Amber","Green"))))))</f>
        <v/>
      </c>
      <c r="P142" s="0" t="str">
        <f aca="false">IF(AND(H142="Green",OR(O142="Amber",O142="Red")),"Watermelon","")</f>
        <v/>
      </c>
      <c r="Q142" s="0" t="str">
        <f aca="false">IF(B142="","",IF(J142="","Missing",IF(J142&gt;A142+UpdateDue,"Late","On time")))</f>
        <v/>
      </c>
      <c r="R142" s="0" t="str">
        <f aca="false">IF(OR(B142="",D142=""),"",IF(COUNTIFS($B$6:$B$400,B142,$A$6:$A$400,EOMONTH(A142,-1))=0,"",IF(D142&lt;SUMIFS($D$6:$D$400,$B$6:$B$400,B142,$A$6:$A$400,EOMONTH(A142,-1)),"Dropped","")))</f>
        <v/>
      </c>
      <c r="S142" s="41" t="str">
        <f aca="false">IF(B142="","",B142&amp;"|"&amp;(YEAR(A142)*100+MONTH(A142)))</f>
        <v/>
      </c>
    </row>
    <row r="143" customFormat="false" ht="15" hidden="false" customHeight="false" outlineLevel="0" collapsed="false">
      <c r="A143" s="37"/>
      <c r="C143" s="0" t="str">
        <f aca="false">IF(B143="","",IFERROR(INDEX(Project_Register!$B$6:$B$40,MATCH(B143,Project_Register!$A$6:$A$40,0)),"Unknown ID"))</f>
        <v/>
      </c>
      <c r="D143" s="38"/>
      <c r="E143" s="24"/>
      <c r="F143" s="24"/>
      <c r="G143" s="39"/>
      <c r="J143" s="39"/>
      <c r="K143" s="38" t="str">
        <f aca="false">IF(OR(B143="",T143="On Hold"),"",MAX(0,MIN(1,(A143-INDEX(Project_Register!$G$6:$G$40,MATCH(B143,Project_Register!$A$6:$A$40,0)))/(INDEX(Project_Register!$H$6:$H$40,MATCH(B143,Project_Register!$A$6:$A$40,0))-INDEX(Project_Register!$G$6:$G$40,MATCH(B143,Project_Register!$A$6:$A$40,0))))))</f>
        <v/>
      </c>
      <c r="L143" s="40" t="str">
        <f aca="false">IF(OR(B143="",D143="",T143="On Hold"),"",ROUND((D143-K143)*100,0))</f>
        <v/>
      </c>
      <c r="M143" s="38" t="str">
        <f aca="false">IF(OR(B143="",F143=""),"",F143/INDEX(Project_Register!$I$6:$I$40,MATCH(B143,Project_Register!$A$6:$A$40,0)))</f>
        <v/>
      </c>
      <c r="N143" s="40" t="str">
        <f aca="false">IF(OR(B143="",G143="",T143="On Hold"),"",G143-INDEX(Project_Register!$H$6:$H$40,MATCH(B143,Project_Register!$A$6:$A$40,0)))</f>
        <v/>
      </c>
      <c r="O143" s="0" t="str">
        <f aca="false">IF(B143="","",IF(D143="","No update",IF(AND(T143&lt;&gt;"Active",D143&lt;1),T143,IF(D143&gt;=1,"Complete",IF(OR(L143&lt;=SV_Red,M143&gt;Cost_Red,N143&gt;Slip_Red),"Red",IF(OR(L143&lt;=SV_Amber,M143&gt;Cost_Amber,N143&gt;Slip_Amber),"Amber","Green"))))))</f>
        <v/>
      </c>
      <c r="P143" s="0" t="str">
        <f aca="false">IF(AND(H143="Green",OR(O143="Amber",O143="Red")),"Watermelon","")</f>
        <v/>
      </c>
      <c r="Q143" s="0" t="str">
        <f aca="false">IF(B143="","",IF(J143="","Missing",IF(J143&gt;A143+UpdateDue,"Late","On time")))</f>
        <v/>
      </c>
      <c r="R143" s="0" t="str">
        <f aca="false">IF(OR(B143="",D143=""),"",IF(COUNTIFS($B$6:$B$400,B143,$A$6:$A$400,EOMONTH(A143,-1))=0,"",IF(D143&lt;SUMIFS($D$6:$D$400,$B$6:$B$400,B143,$A$6:$A$400,EOMONTH(A143,-1)),"Dropped","")))</f>
        <v/>
      </c>
      <c r="S143" s="41" t="str">
        <f aca="false">IF(B143="","",B143&amp;"|"&amp;(YEAR(A143)*100+MONTH(A143)))</f>
        <v/>
      </c>
    </row>
    <row r="144" customFormat="false" ht="15" hidden="false" customHeight="false" outlineLevel="0" collapsed="false">
      <c r="A144" s="37"/>
      <c r="C144" s="0" t="str">
        <f aca="false">IF(B144="","",IFERROR(INDEX(Project_Register!$B$6:$B$40,MATCH(B144,Project_Register!$A$6:$A$40,0)),"Unknown ID"))</f>
        <v/>
      </c>
      <c r="D144" s="38"/>
      <c r="E144" s="24"/>
      <c r="F144" s="24"/>
      <c r="G144" s="39"/>
      <c r="J144" s="39"/>
      <c r="K144" s="38" t="str">
        <f aca="false">IF(OR(B144="",T144="On Hold"),"",MAX(0,MIN(1,(A144-INDEX(Project_Register!$G$6:$G$40,MATCH(B144,Project_Register!$A$6:$A$40,0)))/(INDEX(Project_Register!$H$6:$H$40,MATCH(B144,Project_Register!$A$6:$A$40,0))-INDEX(Project_Register!$G$6:$G$40,MATCH(B144,Project_Register!$A$6:$A$40,0))))))</f>
        <v/>
      </c>
      <c r="L144" s="40" t="str">
        <f aca="false">IF(OR(B144="",D144="",T144="On Hold"),"",ROUND((D144-K144)*100,0))</f>
        <v/>
      </c>
      <c r="M144" s="38" t="str">
        <f aca="false">IF(OR(B144="",F144=""),"",F144/INDEX(Project_Register!$I$6:$I$40,MATCH(B144,Project_Register!$A$6:$A$40,0)))</f>
        <v/>
      </c>
      <c r="N144" s="40" t="str">
        <f aca="false">IF(OR(B144="",G144="",T144="On Hold"),"",G144-INDEX(Project_Register!$H$6:$H$40,MATCH(B144,Project_Register!$A$6:$A$40,0)))</f>
        <v/>
      </c>
      <c r="O144" s="0" t="str">
        <f aca="false">IF(B144="","",IF(D144="","No update",IF(AND(T144&lt;&gt;"Active",D144&lt;1),T144,IF(D144&gt;=1,"Complete",IF(OR(L144&lt;=SV_Red,M144&gt;Cost_Red,N144&gt;Slip_Red),"Red",IF(OR(L144&lt;=SV_Amber,M144&gt;Cost_Amber,N144&gt;Slip_Amber),"Amber","Green"))))))</f>
        <v/>
      </c>
      <c r="P144" s="0" t="str">
        <f aca="false">IF(AND(H144="Green",OR(O144="Amber",O144="Red")),"Watermelon","")</f>
        <v/>
      </c>
      <c r="Q144" s="0" t="str">
        <f aca="false">IF(B144="","",IF(J144="","Missing",IF(J144&gt;A144+UpdateDue,"Late","On time")))</f>
        <v/>
      </c>
      <c r="R144" s="0" t="str">
        <f aca="false">IF(OR(B144="",D144=""),"",IF(COUNTIFS($B$6:$B$400,B144,$A$6:$A$400,EOMONTH(A144,-1))=0,"",IF(D144&lt;SUMIFS($D$6:$D$400,$B$6:$B$400,B144,$A$6:$A$400,EOMONTH(A144,-1)),"Dropped","")))</f>
        <v/>
      </c>
      <c r="S144" s="41" t="str">
        <f aca="false">IF(B144="","",B144&amp;"|"&amp;(YEAR(A144)*100+MONTH(A144)))</f>
        <v/>
      </c>
    </row>
    <row r="145" customFormat="false" ht="15" hidden="false" customHeight="false" outlineLevel="0" collapsed="false">
      <c r="A145" s="37"/>
      <c r="C145" s="0" t="str">
        <f aca="false">IF(B145="","",IFERROR(INDEX(Project_Register!$B$6:$B$40,MATCH(B145,Project_Register!$A$6:$A$40,0)),"Unknown ID"))</f>
        <v/>
      </c>
      <c r="D145" s="38"/>
      <c r="E145" s="24"/>
      <c r="F145" s="24"/>
      <c r="G145" s="39"/>
      <c r="J145" s="39"/>
      <c r="K145" s="38" t="str">
        <f aca="false">IF(OR(B145="",T145="On Hold"),"",MAX(0,MIN(1,(A145-INDEX(Project_Register!$G$6:$G$40,MATCH(B145,Project_Register!$A$6:$A$40,0)))/(INDEX(Project_Register!$H$6:$H$40,MATCH(B145,Project_Register!$A$6:$A$40,0))-INDEX(Project_Register!$G$6:$G$40,MATCH(B145,Project_Register!$A$6:$A$40,0))))))</f>
        <v/>
      </c>
      <c r="L145" s="40" t="str">
        <f aca="false">IF(OR(B145="",D145="",T145="On Hold"),"",ROUND((D145-K145)*100,0))</f>
        <v/>
      </c>
      <c r="M145" s="38" t="str">
        <f aca="false">IF(OR(B145="",F145=""),"",F145/INDEX(Project_Register!$I$6:$I$40,MATCH(B145,Project_Register!$A$6:$A$40,0)))</f>
        <v/>
      </c>
      <c r="N145" s="40" t="str">
        <f aca="false">IF(OR(B145="",G145="",T145="On Hold"),"",G145-INDEX(Project_Register!$H$6:$H$40,MATCH(B145,Project_Register!$A$6:$A$40,0)))</f>
        <v/>
      </c>
      <c r="O145" s="0" t="str">
        <f aca="false">IF(B145="","",IF(D145="","No update",IF(AND(T145&lt;&gt;"Active",D145&lt;1),T145,IF(D145&gt;=1,"Complete",IF(OR(L145&lt;=SV_Red,M145&gt;Cost_Red,N145&gt;Slip_Red),"Red",IF(OR(L145&lt;=SV_Amber,M145&gt;Cost_Amber,N145&gt;Slip_Amber),"Amber","Green"))))))</f>
        <v/>
      </c>
      <c r="P145" s="0" t="str">
        <f aca="false">IF(AND(H145="Green",OR(O145="Amber",O145="Red")),"Watermelon","")</f>
        <v/>
      </c>
      <c r="Q145" s="0" t="str">
        <f aca="false">IF(B145="","",IF(J145="","Missing",IF(J145&gt;A145+UpdateDue,"Late","On time")))</f>
        <v/>
      </c>
      <c r="R145" s="0" t="str">
        <f aca="false">IF(OR(B145="",D145=""),"",IF(COUNTIFS($B$6:$B$400,B145,$A$6:$A$400,EOMONTH(A145,-1))=0,"",IF(D145&lt;SUMIFS($D$6:$D$400,$B$6:$B$400,B145,$A$6:$A$400,EOMONTH(A145,-1)),"Dropped","")))</f>
        <v/>
      </c>
      <c r="S145" s="41" t="str">
        <f aca="false">IF(B145="","",B145&amp;"|"&amp;(YEAR(A145)*100+MONTH(A145)))</f>
        <v/>
      </c>
    </row>
    <row r="146" customFormat="false" ht="15" hidden="false" customHeight="false" outlineLevel="0" collapsed="false">
      <c r="A146" s="37"/>
      <c r="C146" s="0" t="str">
        <f aca="false">IF(B146="","",IFERROR(INDEX(Project_Register!$B$6:$B$40,MATCH(B146,Project_Register!$A$6:$A$40,0)),"Unknown ID"))</f>
        <v/>
      </c>
      <c r="D146" s="38"/>
      <c r="E146" s="24"/>
      <c r="F146" s="24"/>
      <c r="G146" s="39"/>
      <c r="J146" s="39"/>
      <c r="K146" s="38" t="str">
        <f aca="false">IF(OR(B146="",T146="On Hold"),"",MAX(0,MIN(1,(A146-INDEX(Project_Register!$G$6:$G$40,MATCH(B146,Project_Register!$A$6:$A$40,0)))/(INDEX(Project_Register!$H$6:$H$40,MATCH(B146,Project_Register!$A$6:$A$40,0))-INDEX(Project_Register!$G$6:$G$40,MATCH(B146,Project_Register!$A$6:$A$40,0))))))</f>
        <v/>
      </c>
      <c r="L146" s="40" t="str">
        <f aca="false">IF(OR(B146="",D146="",T146="On Hold"),"",ROUND((D146-K146)*100,0))</f>
        <v/>
      </c>
      <c r="M146" s="38" t="str">
        <f aca="false">IF(OR(B146="",F146=""),"",F146/INDEX(Project_Register!$I$6:$I$40,MATCH(B146,Project_Register!$A$6:$A$40,0)))</f>
        <v/>
      </c>
      <c r="N146" s="40" t="str">
        <f aca="false">IF(OR(B146="",G146="",T146="On Hold"),"",G146-INDEX(Project_Register!$H$6:$H$40,MATCH(B146,Project_Register!$A$6:$A$40,0)))</f>
        <v/>
      </c>
      <c r="O146" s="0" t="str">
        <f aca="false">IF(B146="","",IF(D146="","No update",IF(AND(T146&lt;&gt;"Active",D146&lt;1),T146,IF(D146&gt;=1,"Complete",IF(OR(L146&lt;=SV_Red,M146&gt;Cost_Red,N146&gt;Slip_Red),"Red",IF(OR(L146&lt;=SV_Amber,M146&gt;Cost_Amber,N146&gt;Slip_Amber),"Amber","Green"))))))</f>
        <v/>
      </c>
      <c r="P146" s="0" t="str">
        <f aca="false">IF(AND(H146="Green",OR(O146="Amber",O146="Red")),"Watermelon","")</f>
        <v/>
      </c>
      <c r="Q146" s="0" t="str">
        <f aca="false">IF(B146="","",IF(J146="","Missing",IF(J146&gt;A146+UpdateDue,"Late","On time")))</f>
        <v/>
      </c>
      <c r="R146" s="0" t="str">
        <f aca="false">IF(OR(B146="",D146=""),"",IF(COUNTIFS($B$6:$B$400,B146,$A$6:$A$400,EOMONTH(A146,-1))=0,"",IF(D146&lt;SUMIFS($D$6:$D$400,$B$6:$B$400,B146,$A$6:$A$400,EOMONTH(A146,-1)),"Dropped","")))</f>
        <v/>
      </c>
      <c r="S146" s="41" t="str">
        <f aca="false">IF(B146="","",B146&amp;"|"&amp;(YEAR(A146)*100+MONTH(A146)))</f>
        <v/>
      </c>
    </row>
    <row r="147" customFormat="false" ht="15" hidden="false" customHeight="false" outlineLevel="0" collapsed="false">
      <c r="A147" s="37"/>
      <c r="C147" s="0" t="str">
        <f aca="false">IF(B147="","",IFERROR(INDEX(Project_Register!$B$6:$B$40,MATCH(B147,Project_Register!$A$6:$A$40,0)),"Unknown ID"))</f>
        <v/>
      </c>
      <c r="D147" s="38"/>
      <c r="E147" s="24"/>
      <c r="F147" s="24"/>
      <c r="G147" s="39"/>
      <c r="J147" s="39"/>
      <c r="K147" s="38" t="str">
        <f aca="false">IF(OR(B147="",T147="On Hold"),"",MAX(0,MIN(1,(A147-INDEX(Project_Register!$G$6:$G$40,MATCH(B147,Project_Register!$A$6:$A$40,0)))/(INDEX(Project_Register!$H$6:$H$40,MATCH(B147,Project_Register!$A$6:$A$40,0))-INDEX(Project_Register!$G$6:$G$40,MATCH(B147,Project_Register!$A$6:$A$40,0))))))</f>
        <v/>
      </c>
      <c r="L147" s="40" t="str">
        <f aca="false">IF(OR(B147="",D147="",T147="On Hold"),"",ROUND((D147-K147)*100,0))</f>
        <v/>
      </c>
      <c r="M147" s="38" t="str">
        <f aca="false">IF(OR(B147="",F147=""),"",F147/INDEX(Project_Register!$I$6:$I$40,MATCH(B147,Project_Register!$A$6:$A$40,0)))</f>
        <v/>
      </c>
      <c r="N147" s="40" t="str">
        <f aca="false">IF(OR(B147="",G147="",T147="On Hold"),"",G147-INDEX(Project_Register!$H$6:$H$40,MATCH(B147,Project_Register!$A$6:$A$40,0)))</f>
        <v/>
      </c>
      <c r="O147" s="0" t="str">
        <f aca="false">IF(B147="","",IF(D147="","No update",IF(AND(T147&lt;&gt;"Active",D147&lt;1),T147,IF(D147&gt;=1,"Complete",IF(OR(L147&lt;=SV_Red,M147&gt;Cost_Red,N147&gt;Slip_Red),"Red",IF(OR(L147&lt;=SV_Amber,M147&gt;Cost_Amber,N147&gt;Slip_Amber),"Amber","Green"))))))</f>
        <v/>
      </c>
      <c r="P147" s="0" t="str">
        <f aca="false">IF(AND(H147="Green",OR(O147="Amber",O147="Red")),"Watermelon","")</f>
        <v/>
      </c>
      <c r="Q147" s="0" t="str">
        <f aca="false">IF(B147="","",IF(J147="","Missing",IF(J147&gt;A147+UpdateDue,"Late","On time")))</f>
        <v/>
      </c>
      <c r="R147" s="0" t="str">
        <f aca="false">IF(OR(B147="",D147=""),"",IF(COUNTIFS($B$6:$B$400,B147,$A$6:$A$400,EOMONTH(A147,-1))=0,"",IF(D147&lt;SUMIFS($D$6:$D$400,$B$6:$B$400,B147,$A$6:$A$400,EOMONTH(A147,-1)),"Dropped","")))</f>
        <v/>
      </c>
      <c r="S147" s="41" t="str">
        <f aca="false">IF(B147="","",B147&amp;"|"&amp;(YEAR(A147)*100+MONTH(A147)))</f>
        <v/>
      </c>
    </row>
    <row r="148" customFormat="false" ht="15" hidden="false" customHeight="false" outlineLevel="0" collapsed="false">
      <c r="A148" s="37"/>
      <c r="C148" s="0" t="str">
        <f aca="false">IF(B148="","",IFERROR(INDEX(Project_Register!$B$6:$B$40,MATCH(B148,Project_Register!$A$6:$A$40,0)),"Unknown ID"))</f>
        <v/>
      </c>
      <c r="D148" s="38"/>
      <c r="E148" s="24"/>
      <c r="F148" s="24"/>
      <c r="G148" s="39"/>
      <c r="J148" s="39"/>
      <c r="K148" s="38" t="str">
        <f aca="false">IF(OR(B148="",T148="On Hold"),"",MAX(0,MIN(1,(A148-INDEX(Project_Register!$G$6:$G$40,MATCH(B148,Project_Register!$A$6:$A$40,0)))/(INDEX(Project_Register!$H$6:$H$40,MATCH(B148,Project_Register!$A$6:$A$40,0))-INDEX(Project_Register!$G$6:$G$40,MATCH(B148,Project_Register!$A$6:$A$40,0))))))</f>
        <v/>
      </c>
      <c r="L148" s="40" t="str">
        <f aca="false">IF(OR(B148="",D148="",T148="On Hold"),"",ROUND((D148-K148)*100,0))</f>
        <v/>
      </c>
      <c r="M148" s="38" t="str">
        <f aca="false">IF(OR(B148="",F148=""),"",F148/INDEX(Project_Register!$I$6:$I$40,MATCH(B148,Project_Register!$A$6:$A$40,0)))</f>
        <v/>
      </c>
      <c r="N148" s="40" t="str">
        <f aca="false">IF(OR(B148="",G148="",T148="On Hold"),"",G148-INDEX(Project_Register!$H$6:$H$40,MATCH(B148,Project_Register!$A$6:$A$40,0)))</f>
        <v/>
      </c>
      <c r="O148" s="0" t="str">
        <f aca="false">IF(B148="","",IF(D148="","No update",IF(AND(T148&lt;&gt;"Active",D148&lt;1),T148,IF(D148&gt;=1,"Complete",IF(OR(L148&lt;=SV_Red,M148&gt;Cost_Red,N148&gt;Slip_Red),"Red",IF(OR(L148&lt;=SV_Amber,M148&gt;Cost_Amber,N148&gt;Slip_Amber),"Amber","Green"))))))</f>
        <v/>
      </c>
      <c r="P148" s="0" t="str">
        <f aca="false">IF(AND(H148="Green",OR(O148="Amber",O148="Red")),"Watermelon","")</f>
        <v/>
      </c>
      <c r="Q148" s="0" t="str">
        <f aca="false">IF(B148="","",IF(J148="","Missing",IF(J148&gt;A148+UpdateDue,"Late","On time")))</f>
        <v/>
      </c>
      <c r="R148" s="0" t="str">
        <f aca="false">IF(OR(B148="",D148=""),"",IF(COUNTIFS($B$6:$B$400,B148,$A$6:$A$400,EOMONTH(A148,-1))=0,"",IF(D148&lt;SUMIFS($D$6:$D$400,$B$6:$B$400,B148,$A$6:$A$400,EOMONTH(A148,-1)),"Dropped","")))</f>
        <v/>
      </c>
      <c r="S148" s="41" t="str">
        <f aca="false">IF(B148="","",B148&amp;"|"&amp;(YEAR(A148)*100+MONTH(A148)))</f>
        <v/>
      </c>
    </row>
    <row r="149" customFormat="false" ht="15" hidden="false" customHeight="false" outlineLevel="0" collapsed="false">
      <c r="A149" s="37"/>
      <c r="C149" s="0" t="str">
        <f aca="false">IF(B149="","",IFERROR(INDEX(Project_Register!$B$6:$B$40,MATCH(B149,Project_Register!$A$6:$A$40,0)),"Unknown ID"))</f>
        <v/>
      </c>
      <c r="D149" s="38"/>
      <c r="E149" s="24"/>
      <c r="F149" s="24"/>
      <c r="G149" s="39"/>
      <c r="J149" s="39"/>
      <c r="K149" s="38" t="str">
        <f aca="false">IF(OR(B149="",T149="On Hold"),"",MAX(0,MIN(1,(A149-INDEX(Project_Register!$G$6:$G$40,MATCH(B149,Project_Register!$A$6:$A$40,0)))/(INDEX(Project_Register!$H$6:$H$40,MATCH(B149,Project_Register!$A$6:$A$40,0))-INDEX(Project_Register!$G$6:$G$40,MATCH(B149,Project_Register!$A$6:$A$40,0))))))</f>
        <v/>
      </c>
      <c r="L149" s="40" t="str">
        <f aca="false">IF(OR(B149="",D149="",T149="On Hold"),"",ROUND((D149-K149)*100,0))</f>
        <v/>
      </c>
      <c r="M149" s="38" t="str">
        <f aca="false">IF(OR(B149="",F149=""),"",F149/INDEX(Project_Register!$I$6:$I$40,MATCH(B149,Project_Register!$A$6:$A$40,0)))</f>
        <v/>
      </c>
      <c r="N149" s="40" t="str">
        <f aca="false">IF(OR(B149="",G149="",T149="On Hold"),"",G149-INDEX(Project_Register!$H$6:$H$40,MATCH(B149,Project_Register!$A$6:$A$40,0)))</f>
        <v/>
      </c>
      <c r="O149" s="0" t="str">
        <f aca="false">IF(B149="","",IF(D149="","No update",IF(AND(T149&lt;&gt;"Active",D149&lt;1),T149,IF(D149&gt;=1,"Complete",IF(OR(L149&lt;=SV_Red,M149&gt;Cost_Red,N149&gt;Slip_Red),"Red",IF(OR(L149&lt;=SV_Amber,M149&gt;Cost_Amber,N149&gt;Slip_Amber),"Amber","Green"))))))</f>
        <v/>
      </c>
      <c r="P149" s="0" t="str">
        <f aca="false">IF(AND(H149="Green",OR(O149="Amber",O149="Red")),"Watermelon","")</f>
        <v/>
      </c>
      <c r="Q149" s="0" t="str">
        <f aca="false">IF(B149="","",IF(J149="","Missing",IF(J149&gt;A149+UpdateDue,"Late","On time")))</f>
        <v/>
      </c>
      <c r="R149" s="0" t="str">
        <f aca="false">IF(OR(B149="",D149=""),"",IF(COUNTIFS($B$6:$B$400,B149,$A$6:$A$400,EOMONTH(A149,-1))=0,"",IF(D149&lt;SUMIFS($D$6:$D$400,$B$6:$B$400,B149,$A$6:$A$400,EOMONTH(A149,-1)),"Dropped","")))</f>
        <v/>
      </c>
      <c r="S149" s="41" t="str">
        <f aca="false">IF(B149="","",B149&amp;"|"&amp;(YEAR(A149)*100+MONTH(A149)))</f>
        <v/>
      </c>
    </row>
    <row r="150" customFormat="false" ht="15" hidden="false" customHeight="false" outlineLevel="0" collapsed="false">
      <c r="A150" s="37"/>
      <c r="C150" s="0" t="str">
        <f aca="false">IF(B150="","",IFERROR(INDEX(Project_Register!$B$6:$B$40,MATCH(B150,Project_Register!$A$6:$A$40,0)),"Unknown ID"))</f>
        <v/>
      </c>
      <c r="D150" s="38"/>
      <c r="E150" s="24"/>
      <c r="F150" s="24"/>
      <c r="G150" s="39"/>
      <c r="J150" s="39"/>
      <c r="K150" s="38" t="str">
        <f aca="false">IF(OR(B150="",T150="On Hold"),"",MAX(0,MIN(1,(A150-INDEX(Project_Register!$G$6:$G$40,MATCH(B150,Project_Register!$A$6:$A$40,0)))/(INDEX(Project_Register!$H$6:$H$40,MATCH(B150,Project_Register!$A$6:$A$40,0))-INDEX(Project_Register!$G$6:$G$40,MATCH(B150,Project_Register!$A$6:$A$40,0))))))</f>
        <v/>
      </c>
      <c r="L150" s="40" t="str">
        <f aca="false">IF(OR(B150="",D150="",T150="On Hold"),"",ROUND((D150-K150)*100,0))</f>
        <v/>
      </c>
      <c r="M150" s="38" t="str">
        <f aca="false">IF(OR(B150="",F150=""),"",F150/INDEX(Project_Register!$I$6:$I$40,MATCH(B150,Project_Register!$A$6:$A$40,0)))</f>
        <v/>
      </c>
      <c r="N150" s="40" t="str">
        <f aca="false">IF(OR(B150="",G150="",T150="On Hold"),"",G150-INDEX(Project_Register!$H$6:$H$40,MATCH(B150,Project_Register!$A$6:$A$40,0)))</f>
        <v/>
      </c>
      <c r="O150" s="0" t="str">
        <f aca="false">IF(B150="","",IF(D150="","No update",IF(AND(T150&lt;&gt;"Active",D150&lt;1),T150,IF(D150&gt;=1,"Complete",IF(OR(L150&lt;=SV_Red,M150&gt;Cost_Red,N150&gt;Slip_Red),"Red",IF(OR(L150&lt;=SV_Amber,M150&gt;Cost_Amber,N150&gt;Slip_Amber),"Amber","Green"))))))</f>
        <v/>
      </c>
      <c r="P150" s="0" t="str">
        <f aca="false">IF(AND(H150="Green",OR(O150="Amber",O150="Red")),"Watermelon","")</f>
        <v/>
      </c>
      <c r="Q150" s="0" t="str">
        <f aca="false">IF(B150="","",IF(J150="","Missing",IF(J150&gt;A150+UpdateDue,"Late","On time")))</f>
        <v/>
      </c>
      <c r="R150" s="0" t="str">
        <f aca="false">IF(OR(B150="",D150=""),"",IF(COUNTIFS($B$6:$B$400,B150,$A$6:$A$400,EOMONTH(A150,-1))=0,"",IF(D150&lt;SUMIFS($D$6:$D$400,$B$6:$B$400,B150,$A$6:$A$400,EOMONTH(A150,-1)),"Dropped","")))</f>
        <v/>
      </c>
      <c r="S150" s="41" t="str">
        <f aca="false">IF(B150="","",B150&amp;"|"&amp;(YEAR(A150)*100+MONTH(A150)))</f>
        <v/>
      </c>
    </row>
    <row r="151" customFormat="false" ht="15" hidden="false" customHeight="false" outlineLevel="0" collapsed="false">
      <c r="A151" s="37"/>
      <c r="C151" s="0" t="str">
        <f aca="false">IF(B151="","",IFERROR(INDEX(Project_Register!$B$6:$B$40,MATCH(B151,Project_Register!$A$6:$A$40,0)),"Unknown ID"))</f>
        <v/>
      </c>
      <c r="D151" s="38"/>
      <c r="E151" s="24"/>
      <c r="F151" s="24"/>
      <c r="G151" s="39"/>
      <c r="J151" s="39"/>
      <c r="K151" s="38" t="str">
        <f aca="false">IF(OR(B151="",T151="On Hold"),"",MAX(0,MIN(1,(A151-INDEX(Project_Register!$G$6:$G$40,MATCH(B151,Project_Register!$A$6:$A$40,0)))/(INDEX(Project_Register!$H$6:$H$40,MATCH(B151,Project_Register!$A$6:$A$40,0))-INDEX(Project_Register!$G$6:$G$40,MATCH(B151,Project_Register!$A$6:$A$40,0))))))</f>
        <v/>
      </c>
      <c r="L151" s="40" t="str">
        <f aca="false">IF(OR(B151="",D151="",T151="On Hold"),"",ROUND((D151-K151)*100,0))</f>
        <v/>
      </c>
      <c r="M151" s="38" t="str">
        <f aca="false">IF(OR(B151="",F151=""),"",F151/INDEX(Project_Register!$I$6:$I$40,MATCH(B151,Project_Register!$A$6:$A$40,0)))</f>
        <v/>
      </c>
      <c r="N151" s="40" t="str">
        <f aca="false">IF(OR(B151="",G151="",T151="On Hold"),"",G151-INDEX(Project_Register!$H$6:$H$40,MATCH(B151,Project_Register!$A$6:$A$40,0)))</f>
        <v/>
      </c>
      <c r="O151" s="0" t="str">
        <f aca="false">IF(B151="","",IF(D151="","No update",IF(AND(T151&lt;&gt;"Active",D151&lt;1),T151,IF(D151&gt;=1,"Complete",IF(OR(L151&lt;=SV_Red,M151&gt;Cost_Red,N151&gt;Slip_Red),"Red",IF(OR(L151&lt;=SV_Amber,M151&gt;Cost_Amber,N151&gt;Slip_Amber),"Amber","Green"))))))</f>
        <v/>
      </c>
      <c r="P151" s="0" t="str">
        <f aca="false">IF(AND(H151="Green",OR(O151="Amber",O151="Red")),"Watermelon","")</f>
        <v/>
      </c>
      <c r="Q151" s="0" t="str">
        <f aca="false">IF(B151="","",IF(J151="","Missing",IF(J151&gt;A151+UpdateDue,"Late","On time")))</f>
        <v/>
      </c>
      <c r="R151" s="0" t="str">
        <f aca="false">IF(OR(B151="",D151=""),"",IF(COUNTIFS($B$6:$B$400,B151,$A$6:$A$400,EOMONTH(A151,-1))=0,"",IF(D151&lt;SUMIFS($D$6:$D$400,$B$6:$B$400,B151,$A$6:$A$400,EOMONTH(A151,-1)),"Dropped","")))</f>
        <v/>
      </c>
      <c r="S151" s="41" t="str">
        <f aca="false">IF(B151="","",B151&amp;"|"&amp;(YEAR(A151)*100+MONTH(A151)))</f>
        <v/>
      </c>
    </row>
    <row r="152" customFormat="false" ht="15" hidden="false" customHeight="false" outlineLevel="0" collapsed="false">
      <c r="A152" s="37"/>
      <c r="C152" s="0" t="str">
        <f aca="false">IF(B152="","",IFERROR(INDEX(Project_Register!$B$6:$B$40,MATCH(B152,Project_Register!$A$6:$A$40,0)),"Unknown ID"))</f>
        <v/>
      </c>
      <c r="D152" s="38"/>
      <c r="E152" s="24"/>
      <c r="F152" s="24"/>
      <c r="G152" s="39"/>
      <c r="J152" s="39"/>
      <c r="K152" s="38" t="str">
        <f aca="false">IF(OR(B152="",T152="On Hold"),"",MAX(0,MIN(1,(A152-INDEX(Project_Register!$G$6:$G$40,MATCH(B152,Project_Register!$A$6:$A$40,0)))/(INDEX(Project_Register!$H$6:$H$40,MATCH(B152,Project_Register!$A$6:$A$40,0))-INDEX(Project_Register!$G$6:$G$40,MATCH(B152,Project_Register!$A$6:$A$40,0))))))</f>
        <v/>
      </c>
      <c r="L152" s="40" t="str">
        <f aca="false">IF(OR(B152="",D152="",T152="On Hold"),"",ROUND((D152-K152)*100,0))</f>
        <v/>
      </c>
      <c r="M152" s="38" t="str">
        <f aca="false">IF(OR(B152="",F152=""),"",F152/INDEX(Project_Register!$I$6:$I$40,MATCH(B152,Project_Register!$A$6:$A$40,0)))</f>
        <v/>
      </c>
      <c r="N152" s="40" t="str">
        <f aca="false">IF(OR(B152="",G152="",T152="On Hold"),"",G152-INDEX(Project_Register!$H$6:$H$40,MATCH(B152,Project_Register!$A$6:$A$40,0)))</f>
        <v/>
      </c>
      <c r="O152" s="0" t="str">
        <f aca="false">IF(B152="","",IF(D152="","No update",IF(AND(T152&lt;&gt;"Active",D152&lt;1),T152,IF(D152&gt;=1,"Complete",IF(OR(L152&lt;=SV_Red,M152&gt;Cost_Red,N152&gt;Slip_Red),"Red",IF(OR(L152&lt;=SV_Amber,M152&gt;Cost_Amber,N152&gt;Slip_Amber),"Amber","Green"))))))</f>
        <v/>
      </c>
      <c r="P152" s="0" t="str">
        <f aca="false">IF(AND(H152="Green",OR(O152="Amber",O152="Red")),"Watermelon","")</f>
        <v/>
      </c>
      <c r="Q152" s="0" t="str">
        <f aca="false">IF(B152="","",IF(J152="","Missing",IF(J152&gt;A152+UpdateDue,"Late","On time")))</f>
        <v/>
      </c>
      <c r="R152" s="0" t="str">
        <f aca="false">IF(OR(B152="",D152=""),"",IF(COUNTIFS($B$6:$B$400,B152,$A$6:$A$400,EOMONTH(A152,-1))=0,"",IF(D152&lt;SUMIFS($D$6:$D$400,$B$6:$B$400,B152,$A$6:$A$400,EOMONTH(A152,-1)),"Dropped","")))</f>
        <v/>
      </c>
      <c r="S152" s="41" t="str">
        <f aca="false">IF(B152="","",B152&amp;"|"&amp;(YEAR(A152)*100+MONTH(A152)))</f>
        <v/>
      </c>
    </row>
    <row r="153" customFormat="false" ht="15" hidden="false" customHeight="false" outlineLevel="0" collapsed="false">
      <c r="A153" s="37"/>
      <c r="C153" s="0" t="str">
        <f aca="false">IF(B153="","",IFERROR(INDEX(Project_Register!$B$6:$B$40,MATCH(B153,Project_Register!$A$6:$A$40,0)),"Unknown ID"))</f>
        <v/>
      </c>
      <c r="D153" s="38"/>
      <c r="E153" s="24"/>
      <c r="F153" s="24"/>
      <c r="G153" s="39"/>
      <c r="J153" s="39"/>
      <c r="K153" s="38" t="str">
        <f aca="false">IF(OR(B153="",T153="On Hold"),"",MAX(0,MIN(1,(A153-INDEX(Project_Register!$G$6:$G$40,MATCH(B153,Project_Register!$A$6:$A$40,0)))/(INDEX(Project_Register!$H$6:$H$40,MATCH(B153,Project_Register!$A$6:$A$40,0))-INDEX(Project_Register!$G$6:$G$40,MATCH(B153,Project_Register!$A$6:$A$40,0))))))</f>
        <v/>
      </c>
      <c r="L153" s="40" t="str">
        <f aca="false">IF(OR(B153="",D153="",T153="On Hold"),"",ROUND((D153-K153)*100,0))</f>
        <v/>
      </c>
      <c r="M153" s="38" t="str">
        <f aca="false">IF(OR(B153="",F153=""),"",F153/INDEX(Project_Register!$I$6:$I$40,MATCH(B153,Project_Register!$A$6:$A$40,0)))</f>
        <v/>
      </c>
      <c r="N153" s="40" t="str">
        <f aca="false">IF(OR(B153="",G153="",T153="On Hold"),"",G153-INDEX(Project_Register!$H$6:$H$40,MATCH(B153,Project_Register!$A$6:$A$40,0)))</f>
        <v/>
      </c>
      <c r="O153" s="0" t="str">
        <f aca="false">IF(B153="","",IF(D153="","No update",IF(AND(T153&lt;&gt;"Active",D153&lt;1),T153,IF(D153&gt;=1,"Complete",IF(OR(L153&lt;=SV_Red,M153&gt;Cost_Red,N153&gt;Slip_Red),"Red",IF(OR(L153&lt;=SV_Amber,M153&gt;Cost_Amber,N153&gt;Slip_Amber),"Amber","Green"))))))</f>
        <v/>
      </c>
      <c r="P153" s="0" t="str">
        <f aca="false">IF(AND(H153="Green",OR(O153="Amber",O153="Red")),"Watermelon","")</f>
        <v/>
      </c>
      <c r="Q153" s="0" t="str">
        <f aca="false">IF(B153="","",IF(J153="","Missing",IF(J153&gt;A153+UpdateDue,"Late","On time")))</f>
        <v/>
      </c>
      <c r="R153" s="0" t="str">
        <f aca="false">IF(OR(B153="",D153=""),"",IF(COUNTIFS($B$6:$B$400,B153,$A$6:$A$400,EOMONTH(A153,-1))=0,"",IF(D153&lt;SUMIFS($D$6:$D$400,$B$6:$B$400,B153,$A$6:$A$400,EOMONTH(A153,-1)),"Dropped","")))</f>
        <v/>
      </c>
      <c r="S153" s="41" t="str">
        <f aca="false">IF(B153="","",B153&amp;"|"&amp;(YEAR(A153)*100+MONTH(A153)))</f>
        <v/>
      </c>
    </row>
    <row r="154" customFormat="false" ht="15" hidden="false" customHeight="false" outlineLevel="0" collapsed="false">
      <c r="A154" s="37"/>
      <c r="C154" s="0" t="str">
        <f aca="false">IF(B154="","",IFERROR(INDEX(Project_Register!$B$6:$B$40,MATCH(B154,Project_Register!$A$6:$A$40,0)),"Unknown ID"))</f>
        <v/>
      </c>
      <c r="D154" s="38"/>
      <c r="E154" s="24"/>
      <c r="F154" s="24"/>
      <c r="G154" s="39"/>
      <c r="J154" s="39"/>
      <c r="K154" s="38" t="str">
        <f aca="false">IF(OR(B154="",T154="On Hold"),"",MAX(0,MIN(1,(A154-INDEX(Project_Register!$G$6:$G$40,MATCH(B154,Project_Register!$A$6:$A$40,0)))/(INDEX(Project_Register!$H$6:$H$40,MATCH(B154,Project_Register!$A$6:$A$40,0))-INDEX(Project_Register!$G$6:$G$40,MATCH(B154,Project_Register!$A$6:$A$40,0))))))</f>
        <v/>
      </c>
      <c r="L154" s="40" t="str">
        <f aca="false">IF(OR(B154="",D154="",T154="On Hold"),"",ROUND((D154-K154)*100,0))</f>
        <v/>
      </c>
      <c r="M154" s="38" t="str">
        <f aca="false">IF(OR(B154="",F154=""),"",F154/INDEX(Project_Register!$I$6:$I$40,MATCH(B154,Project_Register!$A$6:$A$40,0)))</f>
        <v/>
      </c>
      <c r="N154" s="40" t="str">
        <f aca="false">IF(OR(B154="",G154="",T154="On Hold"),"",G154-INDEX(Project_Register!$H$6:$H$40,MATCH(B154,Project_Register!$A$6:$A$40,0)))</f>
        <v/>
      </c>
      <c r="O154" s="0" t="str">
        <f aca="false">IF(B154="","",IF(D154="","No update",IF(AND(T154&lt;&gt;"Active",D154&lt;1),T154,IF(D154&gt;=1,"Complete",IF(OR(L154&lt;=SV_Red,M154&gt;Cost_Red,N154&gt;Slip_Red),"Red",IF(OR(L154&lt;=SV_Amber,M154&gt;Cost_Amber,N154&gt;Slip_Amber),"Amber","Green"))))))</f>
        <v/>
      </c>
      <c r="P154" s="0" t="str">
        <f aca="false">IF(AND(H154="Green",OR(O154="Amber",O154="Red")),"Watermelon","")</f>
        <v/>
      </c>
      <c r="Q154" s="0" t="str">
        <f aca="false">IF(B154="","",IF(J154="","Missing",IF(J154&gt;A154+UpdateDue,"Late","On time")))</f>
        <v/>
      </c>
      <c r="R154" s="0" t="str">
        <f aca="false">IF(OR(B154="",D154=""),"",IF(COUNTIFS($B$6:$B$400,B154,$A$6:$A$400,EOMONTH(A154,-1))=0,"",IF(D154&lt;SUMIFS($D$6:$D$400,$B$6:$B$400,B154,$A$6:$A$400,EOMONTH(A154,-1)),"Dropped","")))</f>
        <v/>
      </c>
      <c r="S154" s="41" t="str">
        <f aca="false">IF(B154="","",B154&amp;"|"&amp;(YEAR(A154)*100+MONTH(A154)))</f>
        <v/>
      </c>
    </row>
    <row r="155" customFormat="false" ht="15" hidden="false" customHeight="false" outlineLevel="0" collapsed="false">
      <c r="A155" s="37"/>
      <c r="C155" s="0" t="str">
        <f aca="false">IF(B155="","",IFERROR(INDEX(Project_Register!$B$6:$B$40,MATCH(B155,Project_Register!$A$6:$A$40,0)),"Unknown ID"))</f>
        <v/>
      </c>
      <c r="D155" s="38"/>
      <c r="E155" s="24"/>
      <c r="F155" s="24"/>
      <c r="G155" s="39"/>
      <c r="J155" s="39"/>
      <c r="K155" s="38" t="str">
        <f aca="false">IF(OR(B155="",T155="On Hold"),"",MAX(0,MIN(1,(A155-INDEX(Project_Register!$G$6:$G$40,MATCH(B155,Project_Register!$A$6:$A$40,0)))/(INDEX(Project_Register!$H$6:$H$40,MATCH(B155,Project_Register!$A$6:$A$40,0))-INDEX(Project_Register!$G$6:$G$40,MATCH(B155,Project_Register!$A$6:$A$40,0))))))</f>
        <v/>
      </c>
      <c r="L155" s="40" t="str">
        <f aca="false">IF(OR(B155="",D155="",T155="On Hold"),"",ROUND((D155-K155)*100,0))</f>
        <v/>
      </c>
      <c r="M155" s="38" t="str">
        <f aca="false">IF(OR(B155="",F155=""),"",F155/INDEX(Project_Register!$I$6:$I$40,MATCH(B155,Project_Register!$A$6:$A$40,0)))</f>
        <v/>
      </c>
      <c r="N155" s="40" t="str">
        <f aca="false">IF(OR(B155="",G155="",T155="On Hold"),"",G155-INDEX(Project_Register!$H$6:$H$40,MATCH(B155,Project_Register!$A$6:$A$40,0)))</f>
        <v/>
      </c>
      <c r="O155" s="0" t="str">
        <f aca="false">IF(B155="","",IF(D155="","No update",IF(AND(T155&lt;&gt;"Active",D155&lt;1),T155,IF(D155&gt;=1,"Complete",IF(OR(L155&lt;=SV_Red,M155&gt;Cost_Red,N155&gt;Slip_Red),"Red",IF(OR(L155&lt;=SV_Amber,M155&gt;Cost_Amber,N155&gt;Slip_Amber),"Amber","Green"))))))</f>
        <v/>
      </c>
      <c r="P155" s="0" t="str">
        <f aca="false">IF(AND(H155="Green",OR(O155="Amber",O155="Red")),"Watermelon","")</f>
        <v/>
      </c>
      <c r="Q155" s="0" t="str">
        <f aca="false">IF(B155="","",IF(J155="","Missing",IF(J155&gt;A155+UpdateDue,"Late","On time")))</f>
        <v/>
      </c>
      <c r="R155" s="0" t="str">
        <f aca="false">IF(OR(B155="",D155=""),"",IF(COUNTIFS($B$6:$B$400,B155,$A$6:$A$400,EOMONTH(A155,-1))=0,"",IF(D155&lt;SUMIFS($D$6:$D$400,$B$6:$B$400,B155,$A$6:$A$400,EOMONTH(A155,-1)),"Dropped","")))</f>
        <v/>
      </c>
      <c r="S155" s="41" t="str">
        <f aca="false">IF(B155="","",B155&amp;"|"&amp;(YEAR(A155)*100+MONTH(A155)))</f>
        <v/>
      </c>
    </row>
    <row r="156" customFormat="false" ht="15" hidden="false" customHeight="false" outlineLevel="0" collapsed="false">
      <c r="A156" s="37"/>
      <c r="C156" s="0" t="str">
        <f aca="false">IF(B156="","",IFERROR(INDEX(Project_Register!$B$6:$B$40,MATCH(B156,Project_Register!$A$6:$A$40,0)),"Unknown ID"))</f>
        <v/>
      </c>
      <c r="D156" s="38"/>
      <c r="E156" s="24"/>
      <c r="F156" s="24"/>
      <c r="G156" s="39"/>
      <c r="J156" s="39"/>
      <c r="K156" s="38" t="str">
        <f aca="false">IF(OR(B156="",T156="On Hold"),"",MAX(0,MIN(1,(A156-INDEX(Project_Register!$G$6:$G$40,MATCH(B156,Project_Register!$A$6:$A$40,0)))/(INDEX(Project_Register!$H$6:$H$40,MATCH(B156,Project_Register!$A$6:$A$40,0))-INDEX(Project_Register!$G$6:$G$40,MATCH(B156,Project_Register!$A$6:$A$40,0))))))</f>
        <v/>
      </c>
      <c r="L156" s="40" t="str">
        <f aca="false">IF(OR(B156="",D156="",T156="On Hold"),"",ROUND((D156-K156)*100,0))</f>
        <v/>
      </c>
      <c r="M156" s="38" t="str">
        <f aca="false">IF(OR(B156="",F156=""),"",F156/INDEX(Project_Register!$I$6:$I$40,MATCH(B156,Project_Register!$A$6:$A$40,0)))</f>
        <v/>
      </c>
      <c r="N156" s="40" t="str">
        <f aca="false">IF(OR(B156="",G156="",T156="On Hold"),"",G156-INDEX(Project_Register!$H$6:$H$40,MATCH(B156,Project_Register!$A$6:$A$40,0)))</f>
        <v/>
      </c>
      <c r="O156" s="0" t="str">
        <f aca="false">IF(B156="","",IF(D156="","No update",IF(AND(T156&lt;&gt;"Active",D156&lt;1),T156,IF(D156&gt;=1,"Complete",IF(OR(L156&lt;=SV_Red,M156&gt;Cost_Red,N156&gt;Slip_Red),"Red",IF(OR(L156&lt;=SV_Amber,M156&gt;Cost_Amber,N156&gt;Slip_Amber),"Amber","Green"))))))</f>
        <v/>
      </c>
      <c r="P156" s="0" t="str">
        <f aca="false">IF(AND(H156="Green",OR(O156="Amber",O156="Red")),"Watermelon","")</f>
        <v/>
      </c>
      <c r="Q156" s="0" t="str">
        <f aca="false">IF(B156="","",IF(J156="","Missing",IF(J156&gt;A156+UpdateDue,"Late","On time")))</f>
        <v/>
      </c>
      <c r="R156" s="0" t="str">
        <f aca="false">IF(OR(B156="",D156=""),"",IF(COUNTIFS($B$6:$B$400,B156,$A$6:$A$400,EOMONTH(A156,-1))=0,"",IF(D156&lt;SUMIFS($D$6:$D$400,$B$6:$B$400,B156,$A$6:$A$400,EOMONTH(A156,-1)),"Dropped","")))</f>
        <v/>
      </c>
      <c r="S156" s="41" t="str">
        <f aca="false">IF(B156="","",B156&amp;"|"&amp;(YEAR(A156)*100+MONTH(A156)))</f>
        <v/>
      </c>
    </row>
    <row r="157" customFormat="false" ht="15" hidden="false" customHeight="false" outlineLevel="0" collapsed="false">
      <c r="A157" s="37"/>
      <c r="C157" s="0" t="str">
        <f aca="false">IF(B157="","",IFERROR(INDEX(Project_Register!$B$6:$B$40,MATCH(B157,Project_Register!$A$6:$A$40,0)),"Unknown ID"))</f>
        <v/>
      </c>
      <c r="D157" s="38"/>
      <c r="E157" s="24"/>
      <c r="F157" s="24"/>
      <c r="G157" s="39"/>
      <c r="J157" s="39"/>
      <c r="K157" s="38" t="str">
        <f aca="false">IF(OR(B157="",T157="On Hold"),"",MAX(0,MIN(1,(A157-INDEX(Project_Register!$G$6:$G$40,MATCH(B157,Project_Register!$A$6:$A$40,0)))/(INDEX(Project_Register!$H$6:$H$40,MATCH(B157,Project_Register!$A$6:$A$40,0))-INDEX(Project_Register!$G$6:$G$40,MATCH(B157,Project_Register!$A$6:$A$40,0))))))</f>
        <v/>
      </c>
      <c r="L157" s="40" t="str">
        <f aca="false">IF(OR(B157="",D157="",T157="On Hold"),"",ROUND((D157-K157)*100,0))</f>
        <v/>
      </c>
      <c r="M157" s="38" t="str">
        <f aca="false">IF(OR(B157="",F157=""),"",F157/INDEX(Project_Register!$I$6:$I$40,MATCH(B157,Project_Register!$A$6:$A$40,0)))</f>
        <v/>
      </c>
      <c r="N157" s="40" t="str">
        <f aca="false">IF(OR(B157="",G157="",T157="On Hold"),"",G157-INDEX(Project_Register!$H$6:$H$40,MATCH(B157,Project_Register!$A$6:$A$40,0)))</f>
        <v/>
      </c>
      <c r="O157" s="0" t="str">
        <f aca="false">IF(B157="","",IF(D157="","No update",IF(AND(T157&lt;&gt;"Active",D157&lt;1),T157,IF(D157&gt;=1,"Complete",IF(OR(L157&lt;=SV_Red,M157&gt;Cost_Red,N157&gt;Slip_Red),"Red",IF(OR(L157&lt;=SV_Amber,M157&gt;Cost_Amber,N157&gt;Slip_Amber),"Amber","Green"))))))</f>
        <v/>
      </c>
      <c r="P157" s="0" t="str">
        <f aca="false">IF(AND(H157="Green",OR(O157="Amber",O157="Red")),"Watermelon","")</f>
        <v/>
      </c>
      <c r="Q157" s="0" t="str">
        <f aca="false">IF(B157="","",IF(J157="","Missing",IF(J157&gt;A157+UpdateDue,"Late","On time")))</f>
        <v/>
      </c>
      <c r="R157" s="0" t="str">
        <f aca="false">IF(OR(B157="",D157=""),"",IF(COUNTIFS($B$6:$B$400,B157,$A$6:$A$400,EOMONTH(A157,-1))=0,"",IF(D157&lt;SUMIFS($D$6:$D$400,$B$6:$B$400,B157,$A$6:$A$400,EOMONTH(A157,-1)),"Dropped","")))</f>
        <v/>
      </c>
      <c r="S157" s="41" t="str">
        <f aca="false">IF(B157="","",B157&amp;"|"&amp;(YEAR(A157)*100+MONTH(A157)))</f>
        <v/>
      </c>
    </row>
    <row r="158" customFormat="false" ht="15" hidden="false" customHeight="false" outlineLevel="0" collapsed="false">
      <c r="A158" s="37"/>
      <c r="C158" s="0" t="str">
        <f aca="false">IF(B158="","",IFERROR(INDEX(Project_Register!$B$6:$B$40,MATCH(B158,Project_Register!$A$6:$A$40,0)),"Unknown ID"))</f>
        <v/>
      </c>
      <c r="D158" s="38"/>
      <c r="E158" s="24"/>
      <c r="F158" s="24"/>
      <c r="G158" s="39"/>
      <c r="J158" s="39"/>
      <c r="K158" s="38" t="str">
        <f aca="false">IF(OR(B158="",T158="On Hold"),"",MAX(0,MIN(1,(A158-INDEX(Project_Register!$G$6:$G$40,MATCH(B158,Project_Register!$A$6:$A$40,0)))/(INDEX(Project_Register!$H$6:$H$40,MATCH(B158,Project_Register!$A$6:$A$40,0))-INDEX(Project_Register!$G$6:$G$40,MATCH(B158,Project_Register!$A$6:$A$40,0))))))</f>
        <v/>
      </c>
      <c r="L158" s="40" t="str">
        <f aca="false">IF(OR(B158="",D158="",T158="On Hold"),"",ROUND((D158-K158)*100,0))</f>
        <v/>
      </c>
      <c r="M158" s="38" t="str">
        <f aca="false">IF(OR(B158="",F158=""),"",F158/INDEX(Project_Register!$I$6:$I$40,MATCH(B158,Project_Register!$A$6:$A$40,0)))</f>
        <v/>
      </c>
      <c r="N158" s="40" t="str">
        <f aca="false">IF(OR(B158="",G158="",T158="On Hold"),"",G158-INDEX(Project_Register!$H$6:$H$40,MATCH(B158,Project_Register!$A$6:$A$40,0)))</f>
        <v/>
      </c>
      <c r="O158" s="0" t="str">
        <f aca="false">IF(B158="","",IF(D158="","No update",IF(AND(T158&lt;&gt;"Active",D158&lt;1),T158,IF(D158&gt;=1,"Complete",IF(OR(L158&lt;=SV_Red,M158&gt;Cost_Red,N158&gt;Slip_Red),"Red",IF(OR(L158&lt;=SV_Amber,M158&gt;Cost_Amber,N158&gt;Slip_Amber),"Amber","Green"))))))</f>
        <v/>
      </c>
      <c r="P158" s="0" t="str">
        <f aca="false">IF(AND(H158="Green",OR(O158="Amber",O158="Red")),"Watermelon","")</f>
        <v/>
      </c>
      <c r="Q158" s="0" t="str">
        <f aca="false">IF(B158="","",IF(J158="","Missing",IF(J158&gt;A158+UpdateDue,"Late","On time")))</f>
        <v/>
      </c>
      <c r="R158" s="0" t="str">
        <f aca="false">IF(OR(B158="",D158=""),"",IF(COUNTIFS($B$6:$B$400,B158,$A$6:$A$400,EOMONTH(A158,-1))=0,"",IF(D158&lt;SUMIFS($D$6:$D$400,$B$6:$B$400,B158,$A$6:$A$400,EOMONTH(A158,-1)),"Dropped","")))</f>
        <v/>
      </c>
      <c r="S158" s="41" t="str">
        <f aca="false">IF(B158="","",B158&amp;"|"&amp;(YEAR(A158)*100+MONTH(A158)))</f>
        <v/>
      </c>
    </row>
    <row r="159" customFormat="false" ht="15" hidden="false" customHeight="false" outlineLevel="0" collapsed="false">
      <c r="A159" s="37"/>
      <c r="C159" s="0" t="str">
        <f aca="false">IF(B159="","",IFERROR(INDEX(Project_Register!$B$6:$B$40,MATCH(B159,Project_Register!$A$6:$A$40,0)),"Unknown ID"))</f>
        <v/>
      </c>
      <c r="D159" s="38"/>
      <c r="E159" s="24"/>
      <c r="F159" s="24"/>
      <c r="G159" s="39"/>
      <c r="J159" s="39"/>
      <c r="K159" s="38" t="str">
        <f aca="false">IF(OR(B159="",T159="On Hold"),"",MAX(0,MIN(1,(A159-INDEX(Project_Register!$G$6:$G$40,MATCH(B159,Project_Register!$A$6:$A$40,0)))/(INDEX(Project_Register!$H$6:$H$40,MATCH(B159,Project_Register!$A$6:$A$40,0))-INDEX(Project_Register!$G$6:$G$40,MATCH(B159,Project_Register!$A$6:$A$40,0))))))</f>
        <v/>
      </c>
      <c r="L159" s="40" t="str">
        <f aca="false">IF(OR(B159="",D159="",T159="On Hold"),"",ROUND((D159-K159)*100,0))</f>
        <v/>
      </c>
      <c r="M159" s="38" t="str">
        <f aca="false">IF(OR(B159="",F159=""),"",F159/INDEX(Project_Register!$I$6:$I$40,MATCH(B159,Project_Register!$A$6:$A$40,0)))</f>
        <v/>
      </c>
      <c r="N159" s="40" t="str">
        <f aca="false">IF(OR(B159="",G159="",T159="On Hold"),"",G159-INDEX(Project_Register!$H$6:$H$40,MATCH(B159,Project_Register!$A$6:$A$40,0)))</f>
        <v/>
      </c>
      <c r="O159" s="0" t="str">
        <f aca="false">IF(B159="","",IF(D159="","No update",IF(AND(T159&lt;&gt;"Active",D159&lt;1),T159,IF(D159&gt;=1,"Complete",IF(OR(L159&lt;=SV_Red,M159&gt;Cost_Red,N159&gt;Slip_Red),"Red",IF(OR(L159&lt;=SV_Amber,M159&gt;Cost_Amber,N159&gt;Slip_Amber),"Amber","Green"))))))</f>
        <v/>
      </c>
      <c r="P159" s="0" t="str">
        <f aca="false">IF(AND(H159="Green",OR(O159="Amber",O159="Red")),"Watermelon","")</f>
        <v/>
      </c>
      <c r="Q159" s="0" t="str">
        <f aca="false">IF(B159="","",IF(J159="","Missing",IF(J159&gt;A159+UpdateDue,"Late","On time")))</f>
        <v/>
      </c>
      <c r="R159" s="0" t="str">
        <f aca="false">IF(OR(B159="",D159=""),"",IF(COUNTIFS($B$6:$B$400,B159,$A$6:$A$400,EOMONTH(A159,-1))=0,"",IF(D159&lt;SUMIFS($D$6:$D$400,$B$6:$B$400,B159,$A$6:$A$400,EOMONTH(A159,-1)),"Dropped","")))</f>
        <v/>
      </c>
      <c r="S159" s="41" t="str">
        <f aca="false">IF(B159="","",B159&amp;"|"&amp;(YEAR(A159)*100+MONTH(A159)))</f>
        <v/>
      </c>
    </row>
    <row r="160" customFormat="false" ht="15" hidden="false" customHeight="false" outlineLevel="0" collapsed="false">
      <c r="A160" s="37"/>
      <c r="C160" s="0" t="str">
        <f aca="false">IF(B160="","",IFERROR(INDEX(Project_Register!$B$6:$B$40,MATCH(B160,Project_Register!$A$6:$A$40,0)),"Unknown ID"))</f>
        <v/>
      </c>
      <c r="D160" s="38"/>
      <c r="E160" s="24"/>
      <c r="F160" s="24"/>
      <c r="G160" s="39"/>
      <c r="J160" s="39"/>
      <c r="K160" s="38" t="str">
        <f aca="false">IF(OR(B160="",T160="On Hold"),"",MAX(0,MIN(1,(A160-INDEX(Project_Register!$G$6:$G$40,MATCH(B160,Project_Register!$A$6:$A$40,0)))/(INDEX(Project_Register!$H$6:$H$40,MATCH(B160,Project_Register!$A$6:$A$40,0))-INDEX(Project_Register!$G$6:$G$40,MATCH(B160,Project_Register!$A$6:$A$40,0))))))</f>
        <v/>
      </c>
      <c r="L160" s="40" t="str">
        <f aca="false">IF(OR(B160="",D160="",T160="On Hold"),"",ROUND((D160-K160)*100,0))</f>
        <v/>
      </c>
      <c r="M160" s="38" t="str">
        <f aca="false">IF(OR(B160="",F160=""),"",F160/INDEX(Project_Register!$I$6:$I$40,MATCH(B160,Project_Register!$A$6:$A$40,0)))</f>
        <v/>
      </c>
      <c r="N160" s="40" t="str">
        <f aca="false">IF(OR(B160="",G160="",T160="On Hold"),"",G160-INDEX(Project_Register!$H$6:$H$40,MATCH(B160,Project_Register!$A$6:$A$40,0)))</f>
        <v/>
      </c>
      <c r="O160" s="0" t="str">
        <f aca="false">IF(B160="","",IF(D160="","No update",IF(AND(T160&lt;&gt;"Active",D160&lt;1),T160,IF(D160&gt;=1,"Complete",IF(OR(L160&lt;=SV_Red,M160&gt;Cost_Red,N160&gt;Slip_Red),"Red",IF(OR(L160&lt;=SV_Amber,M160&gt;Cost_Amber,N160&gt;Slip_Amber),"Amber","Green"))))))</f>
        <v/>
      </c>
      <c r="P160" s="0" t="str">
        <f aca="false">IF(AND(H160="Green",OR(O160="Amber",O160="Red")),"Watermelon","")</f>
        <v/>
      </c>
      <c r="Q160" s="0" t="str">
        <f aca="false">IF(B160="","",IF(J160="","Missing",IF(J160&gt;A160+UpdateDue,"Late","On time")))</f>
        <v/>
      </c>
      <c r="R160" s="0" t="str">
        <f aca="false">IF(OR(B160="",D160=""),"",IF(COUNTIFS($B$6:$B$400,B160,$A$6:$A$400,EOMONTH(A160,-1))=0,"",IF(D160&lt;SUMIFS($D$6:$D$400,$B$6:$B$400,B160,$A$6:$A$400,EOMONTH(A160,-1)),"Dropped","")))</f>
        <v/>
      </c>
      <c r="S160" s="41" t="str">
        <f aca="false">IF(B160="","",B160&amp;"|"&amp;(YEAR(A160)*100+MONTH(A160)))</f>
        <v/>
      </c>
    </row>
    <row r="161" customFormat="false" ht="15" hidden="false" customHeight="false" outlineLevel="0" collapsed="false">
      <c r="A161" s="37"/>
      <c r="C161" s="0" t="str">
        <f aca="false">IF(B161="","",IFERROR(INDEX(Project_Register!$B$6:$B$40,MATCH(B161,Project_Register!$A$6:$A$40,0)),"Unknown ID"))</f>
        <v/>
      </c>
      <c r="D161" s="38"/>
      <c r="E161" s="24"/>
      <c r="F161" s="24"/>
      <c r="G161" s="39"/>
      <c r="J161" s="39"/>
      <c r="K161" s="38" t="str">
        <f aca="false">IF(OR(B161="",T161="On Hold"),"",MAX(0,MIN(1,(A161-INDEX(Project_Register!$G$6:$G$40,MATCH(B161,Project_Register!$A$6:$A$40,0)))/(INDEX(Project_Register!$H$6:$H$40,MATCH(B161,Project_Register!$A$6:$A$40,0))-INDEX(Project_Register!$G$6:$G$40,MATCH(B161,Project_Register!$A$6:$A$40,0))))))</f>
        <v/>
      </c>
      <c r="L161" s="40" t="str">
        <f aca="false">IF(OR(B161="",D161="",T161="On Hold"),"",ROUND((D161-K161)*100,0))</f>
        <v/>
      </c>
      <c r="M161" s="38" t="str">
        <f aca="false">IF(OR(B161="",F161=""),"",F161/INDEX(Project_Register!$I$6:$I$40,MATCH(B161,Project_Register!$A$6:$A$40,0)))</f>
        <v/>
      </c>
      <c r="N161" s="40" t="str">
        <f aca="false">IF(OR(B161="",G161="",T161="On Hold"),"",G161-INDEX(Project_Register!$H$6:$H$40,MATCH(B161,Project_Register!$A$6:$A$40,0)))</f>
        <v/>
      </c>
      <c r="O161" s="0" t="str">
        <f aca="false">IF(B161="","",IF(D161="","No update",IF(AND(T161&lt;&gt;"Active",D161&lt;1),T161,IF(D161&gt;=1,"Complete",IF(OR(L161&lt;=SV_Red,M161&gt;Cost_Red,N161&gt;Slip_Red),"Red",IF(OR(L161&lt;=SV_Amber,M161&gt;Cost_Amber,N161&gt;Slip_Amber),"Amber","Green"))))))</f>
        <v/>
      </c>
      <c r="P161" s="0" t="str">
        <f aca="false">IF(AND(H161="Green",OR(O161="Amber",O161="Red")),"Watermelon","")</f>
        <v/>
      </c>
      <c r="Q161" s="0" t="str">
        <f aca="false">IF(B161="","",IF(J161="","Missing",IF(J161&gt;A161+UpdateDue,"Late","On time")))</f>
        <v/>
      </c>
      <c r="R161" s="0" t="str">
        <f aca="false">IF(OR(B161="",D161=""),"",IF(COUNTIFS($B$6:$B$400,B161,$A$6:$A$400,EOMONTH(A161,-1))=0,"",IF(D161&lt;SUMIFS($D$6:$D$400,$B$6:$B$400,B161,$A$6:$A$400,EOMONTH(A161,-1)),"Dropped","")))</f>
        <v/>
      </c>
      <c r="S161" s="41" t="str">
        <f aca="false">IF(B161="","",B161&amp;"|"&amp;(YEAR(A161)*100+MONTH(A161)))</f>
        <v/>
      </c>
    </row>
    <row r="162" customFormat="false" ht="15" hidden="false" customHeight="false" outlineLevel="0" collapsed="false">
      <c r="A162" s="37"/>
      <c r="C162" s="0" t="str">
        <f aca="false">IF(B162="","",IFERROR(INDEX(Project_Register!$B$6:$B$40,MATCH(B162,Project_Register!$A$6:$A$40,0)),"Unknown ID"))</f>
        <v/>
      </c>
      <c r="D162" s="38"/>
      <c r="E162" s="24"/>
      <c r="F162" s="24"/>
      <c r="G162" s="39"/>
      <c r="J162" s="39"/>
      <c r="K162" s="38" t="str">
        <f aca="false">IF(OR(B162="",T162="On Hold"),"",MAX(0,MIN(1,(A162-INDEX(Project_Register!$G$6:$G$40,MATCH(B162,Project_Register!$A$6:$A$40,0)))/(INDEX(Project_Register!$H$6:$H$40,MATCH(B162,Project_Register!$A$6:$A$40,0))-INDEX(Project_Register!$G$6:$G$40,MATCH(B162,Project_Register!$A$6:$A$40,0))))))</f>
        <v/>
      </c>
      <c r="L162" s="40" t="str">
        <f aca="false">IF(OR(B162="",D162="",T162="On Hold"),"",ROUND((D162-K162)*100,0))</f>
        <v/>
      </c>
      <c r="M162" s="38" t="str">
        <f aca="false">IF(OR(B162="",F162=""),"",F162/INDEX(Project_Register!$I$6:$I$40,MATCH(B162,Project_Register!$A$6:$A$40,0)))</f>
        <v/>
      </c>
      <c r="N162" s="40" t="str">
        <f aca="false">IF(OR(B162="",G162="",T162="On Hold"),"",G162-INDEX(Project_Register!$H$6:$H$40,MATCH(B162,Project_Register!$A$6:$A$40,0)))</f>
        <v/>
      </c>
      <c r="O162" s="0" t="str">
        <f aca="false">IF(B162="","",IF(D162="","No update",IF(AND(T162&lt;&gt;"Active",D162&lt;1),T162,IF(D162&gt;=1,"Complete",IF(OR(L162&lt;=SV_Red,M162&gt;Cost_Red,N162&gt;Slip_Red),"Red",IF(OR(L162&lt;=SV_Amber,M162&gt;Cost_Amber,N162&gt;Slip_Amber),"Amber","Green"))))))</f>
        <v/>
      </c>
      <c r="P162" s="0" t="str">
        <f aca="false">IF(AND(H162="Green",OR(O162="Amber",O162="Red")),"Watermelon","")</f>
        <v/>
      </c>
      <c r="Q162" s="0" t="str">
        <f aca="false">IF(B162="","",IF(J162="","Missing",IF(J162&gt;A162+UpdateDue,"Late","On time")))</f>
        <v/>
      </c>
      <c r="R162" s="0" t="str">
        <f aca="false">IF(OR(B162="",D162=""),"",IF(COUNTIFS($B$6:$B$400,B162,$A$6:$A$400,EOMONTH(A162,-1))=0,"",IF(D162&lt;SUMIFS($D$6:$D$400,$B$6:$B$400,B162,$A$6:$A$400,EOMONTH(A162,-1)),"Dropped","")))</f>
        <v/>
      </c>
      <c r="S162" s="41" t="str">
        <f aca="false">IF(B162="","",B162&amp;"|"&amp;(YEAR(A162)*100+MONTH(A162)))</f>
        <v/>
      </c>
    </row>
    <row r="163" customFormat="false" ht="15" hidden="false" customHeight="false" outlineLevel="0" collapsed="false">
      <c r="A163" s="37"/>
      <c r="C163" s="0" t="str">
        <f aca="false">IF(B163="","",IFERROR(INDEX(Project_Register!$B$6:$B$40,MATCH(B163,Project_Register!$A$6:$A$40,0)),"Unknown ID"))</f>
        <v/>
      </c>
      <c r="D163" s="38"/>
      <c r="E163" s="24"/>
      <c r="F163" s="24"/>
      <c r="G163" s="39"/>
      <c r="J163" s="39"/>
      <c r="K163" s="38" t="str">
        <f aca="false">IF(OR(B163="",T163="On Hold"),"",MAX(0,MIN(1,(A163-INDEX(Project_Register!$G$6:$G$40,MATCH(B163,Project_Register!$A$6:$A$40,0)))/(INDEX(Project_Register!$H$6:$H$40,MATCH(B163,Project_Register!$A$6:$A$40,0))-INDEX(Project_Register!$G$6:$G$40,MATCH(B163,Project_Register!$A$6:$A$40,0))))))</f>
        <v/>
      </c>
      <c r="L163" s="40" t="str">
        <f aca="false">IF(OR(B163="",D163="",T163="On Hold"),"",ROUND((D163-K163)*100,0))</f>
        <v/>
      </c>
      <c r="M163" s="38" t="str">
        <f aca="false">IF(OR(B163="",F163=""),"",F163/INDEX(Project_Register!$I$6:$I$40,MATCH(B163,Project_Register!$A$6:$A$40,0)))</f>
        <v/>
      </c>
      <c r="N163" s="40" t="str">
        <f aca="false">IF(OR(B163="",G163="",T163="On Hold"),"",G163-INDEX(Project_Register!$H$6:$H$40,MATCH(B163,Project_Register!$A$6:$A$40,0)))</f>
        <v/>
      </c>
      <c r="O163" s="0" t="str">
        <f aca="false">IF(B163="","",IF(D163="","No update",IF(AND(T163&lt;&gt;"Active",D163&lt;1),T163,IF(D163&gt;=1,"Complete",IF(OR(L163&lt;=SV_Red,M163&gt;Cost_Red,N163&gt;Slip_Red),"Red",IF(OR(L163&lt;=SV_Amber,M163&gt;Cost_Amber,N163&gt;Slip_Amber),"Amber","Green"))))))</f>
        <v/>
      </c>
      <c r="P163" s="0" t="str">
        <f aca="false">IF(AND(H163="Green",OR(O163="Amber",O163="Red")),"Watermelon","")</f>
        <v/>
      </c>
      <c r="Q163" s="0" t="str">
        <f aca="false">IF(B163="","",IF(J163="","Missing",IF(J163&gt;A163+UpdateDue,"Late","On time")))</f>
        <v/>
      </c>
      <c r="R163" s="0" t="str">
        <f aca="false">IF(OR(B163="",D163=""),"",IF(COUNTIFS($B$6:$B$400,B163,$A$6:$A$400,EOMONTH(A163,-1))=0,"",IF(D163&lt;SUMIFS($D$6:$D$400,$B$6:$B$400,B163,$A$6:$A$400,EOMONTH(A163,-1)),"Dropped","")))</f>
        <v/>
      </c>
      <c r="S163" s="41" t="str">
        <f aca="false">IF(B163="","",B163&amp;"|"&amp;(YEAR(A163)*100+MONTH(A163)))</f>
        <v/>
      </c>
    </row>
    <row r="164" customFormat="false" ht="15" hidden="false" customHeight="false" outlineLevel="0" collapsed="false">
      <c r="A164" s="37"/>
      <c r="C164" s="0" t="str">
        <f aca="false">IF(B164="","",IFERROR(INDEX(Project_Register!$B$6:$B$40,MATCH(B164,Project_Register!$A$6:$A$40,0)),"Unknown ID"))</f>
        <v/>
      </c>
      <c r="D164" s="38"/>
      <c r="E164" s="24"/>
      <c r="F164" s="24"/>
      <c r="G164" s="39"/>
      <c r="J164" s="39"/>
      <c r="K164" s="38" t="str">
        <f aca="false">IF(OR(B164="",T164="On Hold"),"",MAX(0,MIN(1,(A164-INDEX(Project_Register!$G$6:$G$40,MATCH(B164,Project_Register!$A$6:$A$40,0)))/(INDEX(Project_Register!$H$6:$H$40,MATCH(B164,Project_Register!$A$6:$A$40,0))-INDEX(Project_Register!$G$6:$G$40,MATCH(B164,Project_Register!$A$6:$A$40,0))))))</f>
        <v/>
      </c>
      <c r="L164" s="40" t="str">
        <f aca="false">IF(OR(B164="",D164="",T164="On Hold"),"",ROUND((D164-K164)*100,0))</f>
        <v/>
      </c>
      <c r="M164" s="38" t="str">
        <f aca="false">IF(OR(B164="",F164=""),"",F164/INDEX(Project_Register!$I$6:$I$40,MATCH(B164,Project_Register!$A$6:$A$40,0)))</f>
        <v/>
      </c>
      <c r="N164" s="40" t="str">
        <f aca="false">IF(OR(B164="",G164="",T164="On Hold"),"",G164-INDEX(Project_Register!$H$6:$H$40,MATCH(B164,Project_Register!$A$6:$A$40,0)))</f>
        <v/>
      </c>
      <c r="O164" s="0" t="str">
        <f aca="false">IF(B164="","",IF(D164="","No update",IF(AND(T164&lt;&gt;"Active",D164&lt;1),T164,IF(D164&gt;=1,"Complete",IF(OR(L164&lt;=SV_Red,M164&gt;Cost_Red,N164&gt;Slip_Red),"Red",IF(OR(L164&lt;=SV_Amber,M164&gt;Cost_Amber,N164&gt;Slip_Amber),"Amber","Green"))))))</f>
        <v/>
      </c>
      <c r="P164" s="0" t="str">
        <f aca="false">IF(AND(H164="Green",OR(O164="Amber",O164="Red")),"Watermelon","")</f>
        <v/>
      </c>
      <c r="Q164" s="0" t="str">
        <f aca="false">IF(B164="","",IF(J164="","Missing",IF(J164&gt;A164+UpdateDue,"Late","On time")))</f>
        <v/>
      </c>
      <c r="R164" s="0" t="str">
        <f aca="false">IF(OR(B164="",D164=""),"",IF(COUNTIFS($B$6:$B$400,B164,$A$6:$A$400,EOMONTH(A164,-1))=0,"",IF(D164&lt;SUMIFS($D$6:$D$400,$B$6:$B$400,B164,$A$6:$A$400,EOMONTH(A164,-1)),"Dropped","")))</f>
        <v/>
      </c>
      <c r="S164" s="41" t="str">
        <f aca="false">IF(B164="","",B164&amp;"|"&amp;(YEAR(A164)*100+MONTH(A164)))</f>
        <v/>
      </c>
    </row>
    <row r="165" customFormat="false" ht="15" hidden="false" customHeight="false" outlineLevel="0" collapsed="false">
      <c r="A165" s="37"/>
      <c r="C165" s="0" t="str">
        <f aca="false">IF(B165="","",IFERROR(INDEX(Project_Register!$B$6:$B$40,MATCH(B165,Project_Register!$A$6:$A$40,0)),"Unknown ID"))</f>
        <v/>
      </c>
      <c r="D165" s="38"/>
      <c r="E165" s="24"/>
      <c r="F165" s="24"/>
      <c r="G165" s="39"/>
      <c r="J165" s="39"/>
      <c r="K165" s="38" t="str">
        <f aca="false">IF(OR(B165="",T165="On Hold"),"",MAX(0,MIN(1,(A165-INDEX(Project_Register!$G$6:$G$40,MATCH(B165,Project_Register!$A$6:$A$40,0)))/(INDEX(Project_Register!$H$6:$H$40,MATCH(B165,Project_Register!$A$6:$A$40,0))-INDEX(Project_Register!$G$6:$G$40,MATCH(B165,Project_Register!$A$6:$A$40,0))))))</f>
        <v/>
      </c>
      <c r="L165" s="40" t="str">
        <f aca="false">IF(OR(B165="",D165="",T165="On Hold"),"",ROUND((D165-K165)*100,0))</f>
        <v/>
      </c>
      <c r="M165" s="38" t="str">
        <f aca="false">IF(OR(B165="",F165=""),"",F165/INDEX(Project_Register!$I$6:$I$40,MATCH(B165,Project_Register!$A$6:$A$40,0)))</f>
        <v/>
      </c>
      <c r="N165" s="40" t="str">
        <f aca="false">IF(OR(B165="",G165="",T165="On Hold"),"",G165-INDEX(Project_Register!$H$6:$H$40,MATCH(B165,Project_Register!$A$6:$A$40,0)))</f>
        <v/>
      </c>
      <c r="O165" s="0" t="str">
        <f aca="false">IF(B165="","",IF(D165="","No update",IF(AND(T165&lt;&gt;"Active",D165&lt;1),T165,IF(D165&gt;=1,"Complete",IF(OR(L165&lt;=SV_Red,M165&gt;Cost_Red,N165&gt;Slip_Red),"Red",IF(OR(L165&lt;=SV_Amber,M165&gt;Cost_Amber,N165&gt;Slip_Amber),"Amber","Green"))))))</f>
        <v/>
      </c>
      <c r="P165" s="0" t="str">
        <f aca="false">IF(AND(H165="Green",OR(O165="Amber",O165="Red")),"Watermelon","")</f>
        <v/>
      </c>
      <c r="Q165" s="0" t="str">
        <f aca="false">IF(B165="","",IF(J165="","Missing",IF(J165&gt;A165+UpdateDue,"Late","On time")))</f>
        <v/>
      </c>
      <c r="R165" s="0" t="str">
        <f aca="false">IF(OR(B165="",D165=""),"",IF(COUNTIFS($B$6:$B$400,B165,$A$6:$A$400,EOMONTH(A165,-1))=0,"",IF(D165&lt;SUMIFS($D$6:$D$400,$B$6:$B$400,B165,$A$6:$A$400,EOMONTH(A165,-1)),"Dropped","")))</f>
        <v/>
      </c>
      <c r="S165" s="41" t="str">
        <f aca="false">IF(B165="","",B165&amp;"|"&amp;(YEAR(A165)*100+MONTH(A165)))</f>
        <v/>
      </c>
    </row>
    <row r="166" customFormat="false" ht="15" hidden="false" customHeight="false" outlineLevel="0" collapsed="false">
      <c r="A166" s="37"/>
      <c r="C166" s="0" t="str">
        <f aca="false">IF(B166="","",IFERROR(INDEX(Project_Register!$B$6:$B$40,MATCH(B166,Project_Register!$A$6:$A$40,0)),"Unknown ID"))</f>
        <v/>
      </c>
      <c r="D166" s="38"/>
      <c r="E166" s="24"/>
      <c r="F166" s="24"/>
      <c r="G166" s="39"/>
      <c r="J166" s="39"/>
      <c r="K166" s="38" t="str">
        <f aca="false">IF(OR(B166="",T166="On Hold"),"",MAX(0,MIN(1,(A166-INDEX(Project_Register!$G$6:$G$40,MATCH(B166,Project_Register!$A$6:$A$40,0)))/(INDEX(Project_Register!$H$6:$H$40,MATCH(B166,Project_Register!$A$6:$A$40,0))-INDEX(Project_Register!$G$6:$G$40,MATCH(B166,Project_Register!$A$6:$A$40,0))))))</f>
        <v/>
      </c>
      <c r="L166" s="40" t="str">
        <f aca="false">IF(OR(B166="",D166="",T166="On Hold"),"",ROUND((D166-K166)*100,0))</f>
        <v/>
      </c>
      <c r="M166" s="38" t="str">
        <f aca="false">IF(OR(B166="",F166=""),"",F166/INDEX(Project_Register!$I$6:$I$40,MATCH(B166,Project_Register!$A$6:$A$40,0)))</f>
        <v/>
      </c>
      <c r="N166" s="40" t="str">
        <f aca="false">IF(OR(B166="",G166="",T166="On Hold"),"",G166-INDEX(Project_Register!$H$6:$H$40,MATCH(B166,Project_Register!$A$6:$A$40,0)))</f>
        <v/>
      </c>
      <c r="O166" s="0" t="str">
        <f aca="false">IF(B166="","",IF(D166="","No update",IF(AND(T166&lt;&gt;"Active",D166&lt;1),T166,IF(D166&gt;=1,"Complete",IF(OR(L166&lt;=SV_Red,M166&gt;Cost_Red,N166&gt;Slip_Red),"Red",IF(OR(L166&lt;=SV_Amber,M166&gt;Cost_Amber,N166&gt;Slip_Amber),"Amber","Green"))))))</f>
        <v/>
      </c>
      <c r="P166" s="0" t="str">
        <f aca="false">IF(AND(H166="Green",OR(O166="Amber",O166="Red")),"Watermelon","")</f>
        <v/>
      </c>
      <c r="Q166" s="0" t="str">
        <f aca="false">IF(B166="","",IF(J166="","Missing",IF(J166&gt;A166+UpdateDue,"Late","On time")))</f>
        <v/>
      </c>
      <c r="R166" s="0" t="str">
        <f aca="false">IF(OR(B166="",D166=""),"",IF(COUNTIFS($B$6:$B$400,B166,$A$6:$A$400,EOMONTH(A166,-1))=0,"",IF(D166&lt;SUMIFS($D$6:$D$400,$B$6:$B$400,B166,$A$6:$A$400,EOMONTH(A166,-1)),"Dropped","")))</f>
        <v/>
      </c>
      <c r="S166" s="41" t="str">
        <f aca="false">IF(B166="","",B166&amp;"|"&amp;(YEAR(A166)*100+MONTH(A166)))</f>
        <v/>
      </c>
    </row>
    <row r="167" customFormat="false" ht="15" hidden="false" customHeight="false" outlineLevel="0" collapsed="false">
      <c r="A167" s="37"/>
      <c r="C167" s="0" t="str">
        <f aca="false">IF(B167="","",IFERROR(INDEX(Project_Register!$B$6:$B$40,MATCH(B167,Project_Register!$A$6:$A$40,0)),"Unknown ID"))</f>
        <v/>
      </c>
      <c r="D167" s="38"/>
      <c r="E167" s="24"/>
      <c r="F167" s="24"/>
      <c r="G167" s="39"/>
      <c r="J167" s="39"/>
      <c r="K167" s="38" t="str">
        <f aca="false">IF(OR(B167="",T167="On Hold"),"",MAX(0,MIN(1,(A167-INDEX(Project_Register!$G$6:$G$40,MATCH(B167,Project_Register!$A$6:$A$40,0)))/(INDEX(Project_Register!$H$6:$H$40,MATCH(B167,Project_Register!$A$6:$A$40,0))-INDEX(Project_Register!$G$6:$G$40,MATCH(B167,Project_Register!$A$6:$A$40,0))))))</f>
        <v/>
      </c>
      <c r="L167" s="40" t="str">
        <f aca="false">IF(OR(B167="",D167="",T167="On Hold"),"",ROUND((D167-K167)*100,0))</f>
        <v/>
      </c>
      <c r="M167" s="38" t="str">
        <f aca="false">IF(OR(B167="",F167=""),"",F167/INDEX(Project_Register!$I$6:$I$40,MATCH(B167,Project_Register!$A$6:$A$40,0)))</f>
        <v/>
      </c>
      <c r="N167" s="40" t="str">
        <f aca="false">IF(OR(B167="",G167="",T167="On Hold"),"",G167-INDEX(Project_Register!$H$6:$H$40,MATCH(B167,Project_Register!$A$6:$A$40,0)))</f>
        <v/>
      </c>
      <c r="O167" s="0" t="str">
        <f aca="false">IF(B167="","",IF(D167="","No update",IF(AND(T167&lt;&gt;"Active",D167&lt;1),T167,IF(D167&gt;=1,"Complete",IF(OR(L167&lt;=SV_Red,M167&gt;Cost_Red,N167&gt;Slip_Red),"Red",IF(OR(L167&lt;=SV_Amber,M167&gt;Cost_Amber,N167&gt;Slip_Amber),"Amber","Green"))))))</f>
        <v/>
      </c>
      <c r="P167" s="0" t="str">
        <f aca="false">IF(AND(H167="Green",OR(O167="Amber",O167="Red")),"Watermelon","")</f>
        <v/>
      </c>
      <c r="Q167" s="0" t="str">
        <f aca="false">IF(B167="","",IF(J167="","Missing",IF(J167&gt;A167+UpdateDue,"Late","On time")))</f>
        <v/>
      </c>
      <c r="R167" s="0" t="str">
        <f aca="false">IF(OR(B167="",D167=""),"",IF(COUNTIFS($B$6:$B$400,B167,$A$6:$A$400,EOMONTH(A167,-1))=0,"",IF(D167&lt;SUMIFS($D$6:$D$400,$B$6:$B$400,B167,$A$6:$A$400,EOMONTH(A167,-1)),"Dropped","")))</f>
        <v/>
      </c>
      <c r="S167" s="41" t="str">
        <f aca="false">IF(B167="","",B167&amp;"|"&amp;(YEAR(A167)*100+MONTH(A167)))</f>
        <v/>
      </c>
    </row>
    <row r="168" customFormat="false" ht="15" hidden="false" customHeight="false" outlineLevel="0" collapsed="false">
      <c r="A168" s="37"/>
      <c r="C168" s="0" t="str">
        <f aca="false">IF(B168="","",IFERROR(INDEX(Project_Register!$B$6:$B$40,MATCH(B168,Project_Register!$A$6:$A$40,0)),"Unknown ID"))</f>
        <v/>
      </c>
      <c r="D168" s="38"/>
      <c r="E168" s="24"/>
      <c r="F168" s="24"/>
      <c r="G168" s="39"/>
      <c r="J168" s="39"/>
      <c r="K168" s="38" t="str">
        <f aca="false">IF(OR(B168="",T168="On Hold"),"",MAX(0,MIN(1,(A168-INDEX(Project_Register!$G$6:$G$40,MATCH(B168,Project_Register!$A$6:$A$40,0)))/(INDEX(Project_Register!$H$6:$H$40,MATCH(B168,Project_Register!$A$6:$A$40,0))-INDEX(Project_Register!$G$6:$G$40,MATCH(B168,Project_Register!$A$6:$A$40,0))))))</f>
        <v/>
      </c>
      <c r="L168" s="40" t="str">
        <f aca="false">IF(OR(B168="",D168="",T168="On Hold"),"",ROUND((D168-K168)*100,0))</f>
        <v/>
      </c>
      <c r="M168" s="38" t="str">
        <f aca="false">IF(OR(B168="",F168=""),"",F168/INDEX(Project_Register!$I$6:$I$40,MATCH(B168,Project_Register!$A$6:$A$40,0)))</f>
        <v/>
      </c>
      <c r="N168" s="40" t="str">
        <f aca="false">IF(OR(B168="",G168="",T168="On Hold"),"",G168-INDEX(Project_Register!$H$6:$H$40,MATCH(B168,Project_Register!$A$6:$A$40,0)))</f>
        <v/>
      </c>
      <c r="O168" s="0" t="str">
        <f aca="false">IF(B168="","",IF(D168="","No update",IF(AND(T168&lt;&gt;"Active",D168&lt;1),T168,IF(D168&gt;=1,"Complete",IF(OR(L168&lt;=SV_Red,M168&gt;Cost_Red,N168&gt;Slip_Red),"Red",IF(OR(L168&lt;=SV_Amber,M168&gt;Cost_Amber,N168&gt;Slip_Amber),"Amber","Green"))))))</f>
        <v/>
      </c>
      <c r="P168" s="0" t="str">
        <f aca="false">IF(AND(H168="Green",OR(O168="Amber",O168="Red")),"Watermelon","")</f>
        <v/>
      </c>
      <c r="Q168" s="0" t="str">
        <f aca="false">IF(B168="","",IF(J168="","Missing",IF(J168&gt;A168+UpdateDue,"Late","On time")))</f>
        <v/>
      </c>
      <c r="R168" s="0" t="str">
        <f aca="false">IF(OR(B168="",D168=""),"",IF(COUNTIFS($B$6:$B$400,B168,$A$6:$A$400,EOMONTH(A168,-1))=0,"",IF(D168&lt;SUMIFS($D$6:$D$400,$B$6:$B$400,B168,$A$6:$A$400,EOMONTH(A168,-1)),"Dropped","")))</f>
        <v/>
      </c>
      <c r="S168" s="41" t="str">
        <f aca="false">IF(B168="","",B168&amp;"|"&amp;(YEAR(A168)*100+MONTH(A168)))</f>
        <v/>
      </c>
    </row>
    <row r="169" customFormat="false" ht="15" hidden="false" customHeight="false" outlineLevel="0" collapsed="false">
      <c r="A169" s="37"/>
      <c r="C169" s="0" t="str">
        <f aca="false">IF(B169="","",IFERROR(INDEX(Project_Register!$B$6:$B$40,MATCH(B169,Project_Register!$A$6:$A$40,0)),"Unknown ID"))</f>
        <v/>
      </c>
      <c r="D169" s="38"/>
      <c r="E169" s="24"/>
      <c r="F169" s="24"/>
      <c r="G169" s="39"/>
      <c r="J169" s="39"/>
      <c r="K169" s="38" t="str">
        <f aca="false">IF(OR(B169="",T169="On Hold"),"",MAX(0,MIN(1,(A169-INDEX(Project_Register!$G$6:$G$40,MATCH(B169,Project_Register!$A$6:$A$40,0)))/(INDEX(Project_Register!$H$6:$H$40,MATCH(B169,Project_Register!$A$6:$A$40,0))-INDEX(Project_Register!$G$6:$G$40,MATCH(B169,Project_Register!$A$6:$A$40,0))))))</f>
        <v/>
      </c>
      <c r="L169" s="40" t="str">
        <f aca="false">IF(OR(B169="",D169="",T169="On Hold"),"",ROUND((D169-K169)*100,0))</f>
        <v/>
      </c>
      <c r="M169" s="38" t="str">
        <f aca="false">IF(OR(B169="",F169=""),"",F169/INDEX(Project_Register!$I$6:$I$40,MATCH(B169,Project_Register!$A$6:$A$40,0)))</f>
        <v/>
      </c>
      <c r="N169" s="40" t="str">
        <f aca="false">IF(OR(B169="",G169="",T169="On Hold"),"",G169-INDEX(Project_Register!$H$6:$H$40,MATCH(B169,Project_Register!$A$6:$A$40,0)))</f>
        <v/>
      </c>
      <c r="O169" s="0" t="str">
        <f aca="false">IF(B169="","",IF(D169="","No update",IF(AND(T169&lt;&gt;"Active",D169&lt;1),T169,IF(D169&gt;=1,"Complete",IF(OR(L169&lt;=SV_Red,M169&gt;Cost_Red,N169&gt;Slip_Red),"Red",IF(OR(L169&lt;=SV_Amber,M169&gt;Cost_Amber,N169&gt;Slip_Amber),"Amber","Green"))))))</f>
        <v/>
      </c>
      <c r="P169" s="0" t="str">
        <f aca="false">IF(AND(H169="Green",OR(O169="Amber",O169="Red")),"Watermelon","")</f>
        <v/>
      </c>
      <c r="Q169" s="0" t="str">
        <f aca="false">IF(B169="","",IF(J169="","Missing",IF(J169&gt;A169+UpdateDue,"Late","On time")))</f>
        <v/>
      </c>
      <c r="R169" s="0" t="str">
        <f aca="false">IF(OR(B169="",D169=""),"",IF(COUNTIFS($B$6:$B$400,B169,$A$6:$A$400,EOMONTH(A169,-1))=0,"",IF(D169&lt;SUMIFS($D$6:$D$400,$B$6:$B$400,B169,$A$6:$A$400,EOMONTH(A169,-1)),"Dropped","")))</f>
        <v/>
      </c>
      <c r="S169" s="41" t="str">
        <f aca="false">IF(B169="","",B169&amp;"|"&amp;(YEAR(A169)*100+MONTH(A169)))</f>
        <v/>
      </c>
    </row>
    <row r="170" customFormat="false" ht="15" hidden="false" customHeight="false" outlineLevel="0" collapsed="false">
      <c r="A170" s="37"/>
      <c r="C170" s="0" t="str">
        <f aca="false">IF(B170="","",IFERROR(INDEX(Project_Register!$B$6:$B$40,MATCH(B170,Project_Register!$A$6:$A$40,0)),"Unknown ID"))</f>
        <v/>
      </c>
      <c r="D170" s="38"/>
      <c r="E170" s="24"/>
      <c r="F170" s="24"/>
      <c r="G170" s="39"/>
      <c r="J170" s="39"/>
      <c r="K170" s="38" t="str">
        <f aca="false">IF(OR(B170="",T170="On Hold"),"",MAX(0,MIN(1,(A170-INDEX(Project_Register!$G$6:$G$40,MATCH(B170,Project_Register!$A$6:$A$40,0)))/(INDEX(Project_Register!$H$6:$H$40,MATCH(B170,Project_Register!$A$6:$A$40,0))-INDEX(Project_Register!$G$6:$G$40,MATCH(B170,Project_Register!$A$6:$A$40,0))))))</f>
        <v/>
      </c>
      <c r="L170" s="40" t="str">
        <f aca="false">IF(OR(B170="",D170="",T170="On Hold"),"",ROUND((D170-K170)*100,0))</f>
        <v/>
      </c>
      <c r="M170" s="38" t="str">
        <f aca="false">IF(OR(B170="",F170=""),"",F170/INDEX(Project_Register!$I$6:$I$40,MATCH(B170,Project_Register!$A$6:$A$40,0)))</f>
        <v/>
      </c>
      <c r="N170" s="40" t="str">
        <f aca="false">IF(OR(B170="",G170="",T170="On Hold"),"",G170-INDEX(Project_Register!$H$6:$H$40,MATCH(B170,Project_Register!$A$6:$A$40,0)))</f>
        <v/>
      </c>
      <c r="O170" s="0" t="str">
        <f aca="false">IF(B170="","",IF(D170="","No update",IF(AND(T170&lt;&gt;"Active",D170&lt;1),T170,IF(D170&gt;=1,"Complete",IF(OR(L170&lt;=SV_Red,M170&gt;Cost_Red,N170&gt;Slip_Red),"Red",IF(OR(L170&lt;=SV_Amber,M170&gt;Cost_Amber,N170&gt;Slip_Amber),"Amber","Green"))))))</f>
        <v/>
      </c>
      <c r="P170" s="0" t="str">
        <f aca="false">IF(AND(H170="Green",OR(O170="Amber",O170="Red")),"Watermelon","")</f>
        <v/>
      </c>
      <c r="Q170" s="0" t="str">
        <f aca="false">IF(B170="","",IF(J170="","Missing",IF(J170&gt;A170+UpdateDue,"Late","On time")))</f>
        <v/>
      </c>
      <c r="R170" s="0" t="str">
        <f aca="false">IF(OR(B170="",D170=""),"",IF(COUNTIFS($B$6:$B$400,B170,$A$6:$A$400,EOMONTH(A170,-1))=0,"",IF(D170&lt;SUMIFS($D$6:$D$400,$B$6:$B$400,B170,$A$6:$A$400,EOMONTH(A170,-1)),"Dropped","")))</f>
        <v/>
      </c>
      <c r="S170" s="41" t="str">
        <f aca="false">IF(B170="","",B170&amp;"|"&amp;(YEAR(A170)*100+MONTH(A170)))</f>
        <v/>
      </c>
    </row>
    <row r="171" customFormat="false" ht="15" hidden="false" customHeight="false" outlineLevel="0" collapsed="false">
      <c r="A171" s="37"/>
      <c r="C171" s="0" t="str">
        <f aca="false">IF(B171="","",IFERROR(INDEX(Project_Register!$B$6:$B$40,MATCH(B171,Project_Register!$A$6:$A$40,0)),"Unknown ID"))</f>
        <v/>
      </c>
      <c r="D171" s="38"/>
      <c r="E171" s="24"/>
      <c r="F171" s="24"/>
      <c r="G171" s="39"/>
      <c r="J171" s="39"/>
      <c r="K171" s="38" t="str">
        <f aca="false">IF(OR(B171="",T171="On Hold"),"",MAX(0,MIN(1,(A171-INDEX(Project_Register!$G$6:$G$40,MATCH(B171,Project_Register!$A$6:$A$40,0)))/(INDEX(Project_Register!$H$6:$H$40,MATCH(B171,Project_Register!$A$6:$A$40,0))-INDEX(Project_Register!$G$6:$G$40,MATCH(B171,Project_Register!$A$6:$A$40,0))))))</f>
        <v/>
      </c>
      <c r="L171" s="40" t="str">
        <f aca="false">IF(OR(B171="",D171="",T171="On Hold"),"",ROUND((D171-K171)*100,0))</f>
        <v/>
      </c>
      <c r="M171" s="38" t="str">
        <f aca="false">IF(OR(B171="",F171=""),"",F171/INDEX(Project_Register!$I$6:$I$40,MATCH(B171,Project_Register!$A$6:$A$40,0)))</f>
        <v/>
      </c>
      <c r="N171" s="40" t="str">
        <f aca="false">IF(OR(B171="",G171="",T171="On Hold"),"",G171-INDEX(Project_Register!$H$6:$H$40,MATCH(B171,Project_Register!$A$6:$A$40,0)))</f>
        <v/>
      </c>
      <c r="O171" s="0" t="str">
        <f aca="false">IF(B171="","",IF(D171="","No update",IF(AND(T171&lt;&gt;"Active",D171&lt;1),T171,IF(D171&gt;=1,"Complete",IF(OR(L171&lt;=SV_Red,M171&gt;Cost_Red,N171&gt;Slip_Red),"Red",IF(OR(L171&lt;=SV_Amber,M171&gt;Cost_Amber,N171&gt;Slip_Amber),"Amber","Green"))))))</f>
        <v/>
      </c>
      <c r="P171" s="0" t="str">
        <f aca="false">IF(AND(H171="Green",OR(O171="Amber",O171="Red")),"Watermelon","")</f>
        <v/>
      </c>
      <c r="Q171" s="0" t="str">
        <f aca="false">IF(B171="","",IF(J171="","Missing",IF(J171&gt;A171+UpdateDue,"Late","On time")))</f>
        <v/>
      </c>
      <c r="R171" s="0" t="str">
        <f aca="false">IF(OR(B171="",D171=""),"",IF(COUNTIFS($B$6:$B$400,B171,$A$6:$A$400,EOMONTH(A171,-1))=0,"",IF(D171&lt;SUMIFS($D$6:$D$400,$B$6:$B$400,B171,$A$6:$A$400,EOMONTH(A171,-1)),"Dropped","")))</f>
        <v/>
      </c>
      <c r="S171" s="41" t="str">
        <f aca="false">IF(B171="","",B171&amp;"|"&amp;(YEAR(A171)*100+MONTH(A171)))</f>
        <v/>
      </c>
    </row>
    <row r="172" customFormat="false" ht="15" hidden="false" customHeight="false" outlineLevel="0" collapsed="false">
      <c r="A172" s="37"/>
      <c r="C172" s="0" t="str">
        <f aca="false">IF(B172="","",IFERROR(INDEX(Project_Register!$B$6:$B$40,MATCH(B172,Project_Register!$A$6:$A$40,0)),"Unknown ID"))</f>
        <v/>
      </c>
      <c r="D172" s="38"/>
      <c r="E172" s="24"/>
      <c r="F172" s="24"/>
      <c r="G172" s="39"/>
      <c r="J172" s="39"/>
      <c r="K172" s="38" t="str">
        <f aca="false">IF(OR(B172="",T172="On Hold"),"",MAX(0,MIN(1,(A172-INDEX(Project_Register!$G$6:$G$40,MATCH(B172,Project_Register!$A$6:$A$40,0)))/(INDEX(Project_Register!$H$6:$H$40,MATCH(B172,Project_Register!$A$6:$A$40,0))-INDEX(Project_Register!$G$6:$G$40,MATCH(B172,Project_Register!$A$6:$A$40,0))))))</f>
        <v/>
      </c>
      <c r="L172" s="40" t="str">
        <f aca="false">IF(OR(B172="",D172="",T172="On Hold"),"",ROUND((D172-K172)*100,0))</f>
        <v/>
      </c>
      <c r="M172" s="38" t="str">
        <f aca="false">IF(OR(B172="",F172=""),"",F172/INDEX(Project_Register!$I$6:$I$40,MATCH(B172,Project_Register!$A$6:$A$40,0)))</f>
        <v/>
      </c>
      <c r="N172" s="40" t="str">
        <f aca="false">IF(OR(B172="",G172="",T172="On Hold"),"",G172-INDEX(Project_Register!$H$6:$H$40,MATCH(B172,Project_Register!$A$6:$A$40,0)))</f>
        <v/>
      </c>
      <c r="O172" s="0" t="str">
        <f aca="false">IF(B172="","",IF(D172="","No update",IF(AND(T172&lt;&gt;"Active",D172&lt;1),T172,IF(D172&gt;=1,"Complete",IF(OR(L172&lt;=SV_Red,M172&gt;Cost_Red,N172&gt;Slip_Red),"Red",IF(OR(L172&lt;=SV_Amber,M172&gt;Cost_Amber,N172&gt;Slip_Amber),"Amber","Green"))))))</f>
        <v/>
      </c>
      <c r="P172" s="0" t="str">
        <f aca="false">IF(AND(H172="Green",OR(O172="Amber",O172="Red")),"Watermelon","")</f>
        <v/>
      </c>
      <c r="Q172" s="0" t="str">
        <f aca="false">IF(B172="","",IF(J172="","Missing",IF(J172&gt;A172+UpdateDue,"Late","On time")))</f>
        <v/>
      </c>
      <c r="R172" s="0" t="str">
        <f aca="false">IF(OR(B172="",D172=""),"",IF(COUNTIFS($B$6:$B$400,B172,$A$6:$A$400,EOMONTH(A172,-1))=0,"",IF(D172&lt;SUMIFS($D$6:$D$400,$B$6:$B$400,B172,$A$6:$A$400,EOMONTH(A172,-1)),"Dropped","")))</f>
        <v/>
      </c>
      <c r="S172" s="41" t="str">
        <f aca="false">IF(B172="","",B172&amp;"|"&amp;(YEAR(A172)*100+MONTH(A172)))</f>
        <v/>
      </c>
    </row>
    <row r="173" customFormat="false" ht="15" hidden="false" customHeight="false" outlineLevel="0" collapsed="false">
      <c r="A173" s="37"/>
      <c r="C173" s="0" t="str">
        <f aca="false">IF(B173="","",IFERROR(INDEX(Project_Register!$B$6:$B$40,MATCH(B173,Project_Register!$A$6:$A$40,0)),"Unknown ID"))</f>
        <v/>
      </c>
      <c r="D173" s="38"/>
      <c r="E173" s="24"/>
      <c r="F173" s="24"/>
      <c r="G173" s="39"/>
      <c r="J173" s="39"/>
      <c r="K173" s="38" t="str">
        <f aca="false">IF(OR(B173="",T173="On Hold"),"",MAX(0,MIN(1,(A173-INDEX(Project_Register!$G$6:$G$40,MATCH(B173,Project_Register!$A$6:$A$40,0)))/(INDEX(Project_Register!$H$6:$H$40,MATCH(B173,Project_Register!$A$6:$A$40,0))-INDEX(Project_Register!$G$6:$G$40,MATCH(B173,Project_Register!$A$6:$A$40,0))))))</f>
        <v/>
      </c>
      <c r="L173" s="40" t="str">
        <f aca="false">IF(OR(B173="",D173="",T173="On Hold"),"",ROUND((D173-K173)*100,0))</f>
        <v/>
      </c>
      <c r="M173" s="38" t="str">
        <f aca="false">IF(OR(B173="",F173=""),"",F173/INDEX(Project_Register!$I$6:$I$40,MATCH(B173,Project_Register!$A$6:$A$40,0)))</f>
        <v/>
      </c>
      <c r="N173" s="40" t="str">
        <f aca="false">IF(OR(B173="",G173="",T173="On Hold"),"",G173-INDEX(Project_Register!$H$6:$H$40,MATCH(B173,Project_Register!$A$6:$A$40,0)))</f>
        <v/>
      </c>
      <c r="O173" s="0" t="str">
        <f aca="false">IF(B173="","",IF(D173="","No update",IF(AND(T173&lt;&gt;"Active",D173&lt;1),T173,IF(D173&gt;=1,"Complete",IF(OR(L173&lt;=SV_Red,M173&gt;Cost_Red,N173&gt;Slip_Red),"Red",IF(OR(L173&lt;=SV_Amber,M173&gt;Cost_Amber,N173&gt;Slip_Amber),"Amber","Green"))))))</f>
        <v/>
      </c>
      <c r="P173" s="0" t="str">
        <f aca="false">IF(AND(H173="Green",OR(O173="Amber",O173="Red")),"Watermelon","")</f>
        <v/>
      </c>
      <c r="Q173" s="0" t="str">
        <f aca="false">IF(B173="","",IF(J173="","Missing",IF(J173&gt;A173+UpdateDue,"Late","On time")))</f>
        <v/>
      </c>
      <c r="R173" s="0" t="str">
        <f aca="false">IF(OR(B173="",D173=""),"",IF(COUNTIFS($B$6:$B$400,B173,$A$6:$A$400,EOMONTH(A173,-1))=0,"",IF(D173&lt;SUMIFS($D$6:$D$400,$B$6:$B$400,B173,$A$6:$A$400,EOMONTH(A173,-1)),"Dropped","")))</f>
        <v/>
      </c>
      <c r="S173" s="41" t="str">
        <f aca="false">IF(B173="","",B173&amp;"|"&amp;(YEAR(A173)*100+MONTH(A173)))</f>
        <v/>
      </c>
    </row>
    <row r="174" customFormat="false" ht="15" hidden="false" customHeight="false" outlineLevel="0" collapsed="false">
      <c r="A174" s="37"/>
      <c r="C174" s="0" t="str">
        <f aca="false">IF(B174="","",IFERROR(INDEX(Project_Register!$B$6:$B$40,MATCH(B174,Project_Register!$A$6:$A$40,0)),"Unknown ID"))</f>
        <v/>
      </c>
      <c r="D174" s="38"/>
      <c r="E174" s="24"/>
      <c r="F174" s="24"/>
      <c r="G174" s="39"/>
      <c r="J174" s="39"/>
      <c r="K174" s="38" t="str">
        <f aca="false">IF(OR(B174="",T174="On Hold"),"",MAX(0,MIN(1,(A174-INDEX(Project_Register!$G$6:$G$40,MATCH(B174,Project_Register!$A$6:$A$40,0)))/(INDEX(Project_Register!$H$6:$H$40,MATCH(B174,Project_Register!$A$6:$A$40,0))-INDEX(Project_Register!$G$6:$G$40,MATCH(B174,Project_Register!$A$6:$A$40,0))))))</f>
        <v/>
      </c>
      <c r="L174" s="40" t="str">
        <f aca="false">IF(OR(B174="",D174="",T174="On Hold"),"",ROUND((D174-K174)*100,0))</f>
        <v/>
      </c>
      <c r="M174" s="38" t="str">
        <f aca="false">IF(OR(B174="",F174=""),"",F174/INDEX(Project_Register!$I$6:$I$40,MATCH(B174,Project_Register!$A$6:$A$40,0)))</f>
        <v/>
      </c>
      <c r="N174" s="40" t="str">
        <f aca="false">IF(OR(B174="",G174="",T174="On Hold"),"",G174-INDEX(Project_Register!$H$6:$H$40,MATCH(B174,Project_Register!$A$6:$A$40,0)))</f>
        <v/>
      </c>
      <c r="O174" s="0" t="str">
        <f aca="false">IF(B174="","",IF(D174="","No update",IF(AND(T174&lt;&gt;"Active",D174&lt;1),T174,IF(D174&gt;=1,"Complete",IF(OR(L174&lt;=SV_Red,M174&gt;Cost_Red,N174&gt;Slip_Red),"Red",IF(OR(L174&lt;=SV_Amber,M174&gt;Cost_Amber,N174&gt;Slip_Amber),"Amber","Green"))))))</f>
        <v/>
      </c>
      <c r="P174" s="0" t="str">
        <f aca="false">IF(AND(H174="Green",OR(O174="Amber",O174="Red")),"Watermelon","")</f>
        <v/>
      </c>
      <c r="Q174" s="0" t="str">
        <f aca="false">IF(B174="","",IF(J174="","Missing",IF(J174&gt;A174+UpdateDue,"Late","On time")))</f>
        <v/>
      </c>
      <c r="R174" s="0" t="str">
        <f aca="false">IF(OR(B174="",D174=""),"",IF(COUNTIFS($B$6:$B$400,B174,$A$6:$A$400,EOMONTH(A174,-1))=0,"",IF(D174&lt;SUMIFS($D$6:$D$400,$B$6:$B$400,B174,$A$6:$A$400,EOMONTH(A174,-1)),"Dropped","")))</f>
        <v/>
      </c>
      <c r="S174" s="41" t="str">
        <f aca="false">IF(B174="","",B174&amp;"|"&amp;(YEAR(A174)*100+MONTH(A174)))</f>
        <v/>
      </c>
    </row>
    <row r="175" customFormat="false" ht="15" hidden="false" customHeight="false" outlineLevel="0" collapsed="false">
      <c r="A175" s="37"/>
      <c r="C175" s="0" t="str">
        <f aca="false">IF(B175="","",IFERROR(INDEX(Project_Register!$B$6:$B$40,MATCH(B175,Project_Register!$A$6:$A$40,0)),"Unknown ID"))</f>
        <v/>
      </c>
      <c r="D175" s="38"/>
      <c r="E175" s="24"/>
      <c r="F175" s="24"/>
      <c r="G175" s="39"/>
      <c r="J175" s="39"/>
      <c r="K175" s="38" t="str">
        <f aca="false">IF(OR(B175="",T175="On Hold"),"",MAX(0,MIN(1,(A175-INDEX(Project_Register!$G$6:$G$40,MATCH(B175,Project_Register!$A$6:$A$40,0)))/(INDEX(Project_Register!$H$6:$H$40,MATCH(B175,Project_Register!$A$6:$A$40,0))-INDEX(Project_Register!$G$6:$G$40,MATCH(B175,Project_Register!$A$6:$A$40,0))))))</f>
        <v/>
      </c>
      <c r="L175" s="40" t="str">
        <f aca="false">IF(OR(B175="",D175="",T175="On Hold"),"",ROUND((D175-K175)*100,0))</f>
        <v/>
      </c>
      <c r="M175" s="38" t="str">
        <f aca="false">IF(OR(B175="",F175=""),"",F175/INDEX(Project_Register!$I$6:$I$40,MATCH(B175,Project_Register!$A$6:$A$40,0)))</f>
        <v/>
      </c>
      <c r="N175" s="40" t="str">
        <f aca="false">IF(OR(B175="",G175="",T175="On Hold"),"",G175-INDEX(Project_Register!$H$6:$H$40,MATCH(B175,Project_Register!$A$6:$A$40,0)))</f>
        <v/>
      </c>
      <c r="O175" s="0" t="str">
        <f aca="false">IF(B175="","",IF(D175="","No update",IF(AND(T175&lt;&gt;"Active",D175&lt;1),T175,IF(D175&gt;=1,"Complete",IF(OR(L175&lt;=SV_Red,M175&gt;Cost_Red,N175&gt;Slip_Red),"Red",IF(OR(L175&lt;=SV_Amber,M175&gt;Cost_Amber,N175&gt;Slip_Amber),"Amber","Green"))))))</f>
        <v/>
      </c>
      <c r="P175" s="0" t="str">
        <f aca="false">IF(AND(H175="Green",OR(O175="Amber",O175="Red")),"Watermelon","")</f>
        <v/>
      </c>
      <c r="Q175" s="0" t="str">
        <f aca="false">IF(B175="","",IF(J175="","Missing",IF(J175&gt;A175+UpdateDue,"Late","On time")))</f>
        <v/>
      </c>
      <c r="R175" s="0" t="str">
        <f aca="false">IF(OR(B175="",D175=""),"",IF(COUNTIFS($B$6:$B$400,B175,$A$6:$A$400,EOMONTH(A175,-1))=0,"",IF(D175&lt;SUMIFS($D$6:$D$400,$B$6:$B$400,B175,$A$6:$A$400,EOMONTH(A175,-1)),"Dropped","")))</f>
        <v/>
      </c>
      <c r="S175" s="41" t="str">
        <f aca="false">IF(B175="","",B175&amp;"|"&amp;(YEAR(A175)*100+MONTH(A175)))</f>
        <v/>
      </c>
    </row>
    <row r="176" customFormat="false" ht="15" hidden="false" customHeight="false" outlineLevel="0" collapsed="false">
      <c r="A176" s="37"/>
      <c r="C176" s="0" t="str">
        <f aca="false">IF(B176="","",IFERROR(INDEX(Project_Register!$B$6:$B$40,MATCH(B176,Project_Register!$A$6:$A$40,0)),"Unknown ID"))</f>
        <v/>
      </c>
      <c r="D176" s="38"/>
      <c r="E176" s="24"/>
      <c r="F176" s="24"/>
      <c r="G176" s="39"/>
      <c r="J176" s="39"/>
      <c r="K176" s="38" t="str">
        <f aca="false">IF(OR(B176="",T176="On Hold"),"",MAX(0,MIN(1,(A176-INDEX(Project_Register!$G$6:$G$40,MATCH(B176,Project_Register!$A$6:$A$40,0)))/(INDEX(Project_Register!$H$6:$H$40,MATCH(B176,Project_Register!$A$6:$A$40,0))-INDEX(Project_Register!$G$6:$G$40,MATCH(B176,Project_Register!$A$6:$A$40,0))))))</f>
        <v/>
      </c>
      <c r="L176" s="40" t="str">
        <f aca="false">IF(OR(B176="",D176="",T176="On Hold"),"",ROUND((D176-K176)*100,0))</f>
        <v/>
      </c>
      <c r="M176" s="38" t="str">
        <f aca="false">IF(OR(B176="",F176=""),"",F176/INDEX(Project_Register!$I$6:$I$40,MATCH(B176,Project_Register!$A$6:$A$40,0)))</f>
        <v/>
      </c>
      <c r="N176" s="40" t="str">
        <f aca="false">IF(OR(B176="",G176="",T176="On Hold"),"",G176-INDEX(Project_Register!$H$6:$H$40,MATCH(B176,Project_Register!$A$6:$A$40,0)))</f>
        <v/>
      </c>
      <c r="O176" s="0" t="str">
        <f aca="false">IF(B176="","",IF(D176="","No update",IF(AND(T176&lt;&gt;"Active",D176&lt;1),T176,IF(D176&gt;=1,"Complete",IF(OR(L176&lt;=SV_Red,M176&gt;Cost_Red,N176&gt;Slip_Red),"Red",IF(OR(L176&lt;=SV_Amber,M176&gt;Cost_Amber,N176&gt;Slip_Amber),"Amber","Green"))))))</f>
        <v/>
      </c>
      <c r="P176" s="0" t="str">
        <f aca="false">IF(AND(H176="Green",OR(O176="Amber",O176="Red")),"Watermelon","")</f>
        <v/>
      </c>
      <c r="Q176" s="0" t="str">
        <f aca="false">IF(B176="","",IF(J176="","Missing",IF(J176&gt;A176+UpdateDue,"Late","On time")))</f>
        <v/>
      </c>
      <c r="R176" s="0" t="str">
        <f aca="false">IF(OR(B176="",D176=""),"",IF(COUNTIFS($B$6:$B$400,B176,$A$6:$A$400,EOMONTH(A176,-1))=0,"",IF(D176&lt;SUMIFS($D$6:$D$400,$B$6:$B$400,B176,$A$6:$A$400,EOMONTH(A176,-1)),"Dropped","")))</f>
        <v/>
      </c>
      <c r="S176" s="41" t="str">
        <f aca="false">IF(B176="","",B176&amp;"|"&amp;(YEAR(A176)*100+MONTH(A176)))</f>
        <v/>
      </c>
    </row>
    <row r="177" customFormat="false" ht="15" hidden="false" customHeight="false" outlineLevel="0" collapsed="false">
      <c r="A177" s="37"/>
      <c r="C177" s="0" t="str">
        <f aca="false">IF(B177="","",IFERROR(INDEX(Project_Register!$B$6:$B$40,MATCH(B177,Project_Register!$A$6:$A$40,0)),"Unknown ID"))</f>
        <v/>
      </c>
      <c r="D177" s="38"/>
      <c r="E177" s="24"/>
      <c r="F177" s="24"/>
      <c r="G177" s="39"/>
      <c r="J177" s="39"/>
      <c r="K177" s="38" t="str">
        <f aca="false">IF(OR(B177="",T177="On Hold"),"",MAX(0,MIN(1,(A177-INDEX(Project_Register!$G$6:$G$40,MATCH(B177,Project_Register!$A$6:$A$40,0)))/(INDEX(Project_Register!$H$6:$H$40,MATCH(B177,Project_Register!$A$6:$A$40,0))-INDEX(Project_Register!$G$6:$G$40,MATCH(B177,Project_Register!$A$6:$A$40,0))))))</f>
        <v/>
      </c>
      <c r="L177" s="40" t="str">
        <f aca="false">IF(OR(B177="",D177="",T177="On Hold"),"",ROUND((D177-K177)*100,0))</f>
        <v/>
      </c>
      <c r="M177" s="38" t="str">
        <f aca="false">IF(OR(B177="",F177=""),"",F177/INDEX(Project_Register!$I$6:$I$40,MATCH(B177,Project_Register!$A$6:$A$40,0)))</f>
        <v/>
      </c>
      <c r="N177" s="40" t="str">
        <f aca="false">IF(OR(B177="",G177="",T177="On Hold"),"",G177-INDEX(Project_Register!$H$6:$H$40,MATCH(B177,Project_Register!$A$6:$A$40,0)))</f>
        <v/>
      </c>
      <c r="O177" s="0" t="str">
        <f aca="false">IF(B177="","",IF(D177="","No update",IF(AND(T177&lt;&gt;"Active",D177&lt;1),T177,IF(D177&gt;=1,"Complete",IF(OR(L177&lt;=SV_Red,M177&gt;Cost_Red,N177&gt;Slip_Red),"Red",IF(OR(L177&lt;=SV_Amber,M177&gt;Cost_Amber,N177&gt;Slip_Amber),"Amber","Green"))))))</f>
        <v/>
      </c>
      <c r="P177" s="0" t="str">
        <f aca="false">IF(AND(H177="Green",OR(O177="Amber",O177="Red")),"Watermelon","")</f>
        <v/>
      </c>
      <c r="Q177" s="0" t="str">
        <f aca="false">IF(B177="","",IF(J177="","Missing",IF(J177&gt;A177+UpdateDue,"Late","On time")))</f>
        <v/>
      </c>
      <c r="R177" s="0" t="str">
        <f aca="false">IF(OR(B177="",D177=""),"",IF(COUNTIFS($B$6:$B$400,B177,$A$6:$A$400,EOMONTH(A177,-1))=0,"",IF(D177&lt;SUMIFS($D$6:$D$400,$B$6:$B$400,B177,$A$6:$A$400,EOMONTH(A177,-1)),"Dropped","")))</f>
        <v/>
      </c>
      <c r="S177" s="41" t="str">
        <f aca="false">IF(B177="","",B177&amp;"|"&amp;(YEAR(A177)*100+MONTH(A177)))</f>
        <v/>
      </c>
    </row>
    <row r="178" customFormat="false" ht="15" hidden="false" customHeight="false" outlineLevel="0" collapsed="false">
      <c r="A178" s="37"/>
      <c r="C178" s="0" t="str">
        <f aca="false">IF(B178="","",IFERROR(INDEX(Project_Register!$B$6:$B$40,MATCH(B178,Project_Register!$A$6:$A$40,0)),"Unknown ID"))</f>
        <v/>
      </c>
      <c r="D178" s="38"/>
      <c r="E178" s="24"/>
      <c r="F178" s="24"/>
      <c r="G178" s="39"/>
      <c r="J178" s="39"/>
      <c r="K178" s="38" t="str">
        <f aca="false">IF(OR(B178="",T178="On Hold"),"",MAX(0,MIN(1,(A178-INDEX(Project_Register!$G$6:$G$40,MATCH(B178,Project_Register!$A$6:$A$40,0)))/(INDEX(Project_Register!$H$6:$H$40,MATCH(B178,Project_Register!$A$6:$A$40,0))-INDEX(Project_Register!$G$6:$G$40,MATCH(B178,Project_Register!$A$6:$A$40,0))))))</f>
        <v/>
      </c>
      <c r="L178" s="40" t="str">
        <f aca="false">IF(OR(B178="",D178="",T178="On Hold"),"",ROUND((D178-K178)*100,0))</f>
        <v/>
      </c>
      <c r="M178" s="38" t="str">
        <f aca="false">IF(OR(B178="",F178=""),"",F178/INDEX(Project_Register!$I$6:$I$40,MATCH(B178,Project_Register!$A$6:$A$40,0)))</f>
        <v/>
      </c>
      <c r="N178" s="40" t="str">
        <f aca="false">IF(OR(B178="",G178="",T178="On Hold"),"",G178-INDEX(Project_Register!$H$6:$H$40,MATCH(B178,Project_Register!$A$6:$A$40,0)))</f>
        <v/>
      </c>
      <c r="O178" s="0" t="str">
        <f aca="false">IF(B178="","",IF(D178="","No update",IF(AND(T178&lt;&gt;"Active",D178&lt;1),T178,IF(D178&gt;=1,"Complete",IF(OR(L178&lt;=SV_Red,M178&gt;Cost_Red,N178&gt;Slip_Red),"Red",IF(OR(L178&lt;=SV_Amber,M178&gt;Cost_Amber,N178&gt;Slip_Amber),"Amber","Green"))))))</f>
        <v/>
      </c>
      <c r="P178" s="0" t="str">
        <f aca="false">IF(AND(H178="Green",OR(O178="Amber",O178="Red")),"Watermelon","")</f>
        <v/>
      </c>
      <c r="Q178" s="0" t="str">
        <f aca="false">IF(B178="","",IF(J178="","Missing",IF(J178&gt;A178+UpdateDue,"Late","On time")))</f>
        <v/>
      </c>
      <c r="R178" s="0" t="str">
        <f aca="false">IF(OR(B178="",D178=""),"",IF(COUNTIFS($B$6:$B$400,B178,$A$6:$A$400,EOMONTH(A178,-1))=0,"",IF(D178&lt;SUMIFS($D$6:$D$400,$B$6:$B$400,B178,$A$6:$A$400,EOMONTH(A178,-1)),"Dropped","")))</f>
        <v/>
      </c>
      <c r="S178" s="41" t="str">
        <f aca="false">IF(B178="","",B178&amp;"|"&amp;(YEAR(A178)*100+MONTH(A178)))</f>
        <v/>
      </c>
    </row>
    <row r="179" customFormat="false" ht="15" hidden="false" customHeight="false" outlineLevel="0" collapsed="false">
      <c r="A179" s="37"/>
      <c r="C179" s="0" t="str">
        <f aca="false">IF(B179="","",IFERROR(INDEX(Project_Register!$B$6:$B$40,MATCH(B179,Project_Register!$A$6:$A$40,0)),"Unknown ID"))</f>
        <v/>
      </c>
      <c r="D179" s="38"/>
      <c r="E179" s="24"/>
      <c r="F179" s="24"/>
      <c r="G179" s="39"/>
      <c r="J179" s="39"/>
      <c r="K179" s="38" t="str">
        <f aca="false">IF(OR(B179="",T179="On Hold"),"",MAX(0,MIN(1,(A179-INDEX(Project_Register!$G$6:$G$40,MATCH(B179,Project_Register!$A$6:$A$40,0)))/(INDEX(Project_Register!$H$6:$H$40,MATCH(B179,Project_Register!$A$6:$A$40,0))-INDEX(Project_Register!$G$6:$G$40,MATCH(B179,Project_Register!$A$6:$A$40,0))))))</f>
        <v/>
      </c>
      <c r="L179" s="40" t="str">
        <f aca="false">IF(OR(B179="",D179="",T179="On Hold"),"",ROUND((D179-K179)*100,0))</f>
        <v/>
      </c>
      <c r="M179" s="38" t="str">
        <f aca="false">IF(OR(B179="",F179=""),"",F179/INDEX(Project_Register!$I$6:$I$40,MATCH(B179,Project_Register!$A$6:$A$40,0)))</f>
        <v/>
      </c>
      <c r="N179" s="40" t="str">
        <f aca="false">IF(OR(B179="",G179="",T179="On Hold"),"",G179-INDEX(Project_Register!$H$6:$H$40,MATCH(B179,Project_Register!$A$6:$A$40,0)))</f>
        <v/>
      </c>
      <c r="O179" s="0" t="str">
        <f aca="false">IF(B179="","",IF(D179="","No update",IF(AND(T179&lt;&gt;"Active",D179&lt;1),T179,IF(D179&gt;=1,"Complete",IF(OR(L179&lt;=SV_Red,M179&gt;Cost_Red,N179&gt;Slip_Red),"Red",IF(OR(L179&lt;=SV_Amber,M179&gt;Cost_Amber,N179&gt;Slip_Amber),"Amber","Green"))))))</f>
        <v/>
      </c>
      <c r="P179" s="0" t="str">
        <f aca="false">IF(AND(H179="Green",OR(O179="Amber",O179="Red")),"Watermelon","")</f>
        <v/>
      </c>
      <c r="Q179" s="0" t="str">
        <f aca="false">IF(B179="","",IF(J179="","Missing",IF(J179&gt;A179+UpdateDue,"Late","On time")))</f>
        <v/>
      </c>
      <c r="R179" s="0" t="str">
        <f aca="false">IF(OR(B179="",D179=""),"",IF(COUNTIFS($B$6:$B$400,B179,$A$6:$A$400,EOMONTH(A179,-1))=0,"",IF(D179&lt;SUMIFS($D$6:$D$400,$B$6:$B$400,B179,$A$6:$A$400,EOMONTH(A179,-1)),"Dropped","")))</f>
        <v/>
      </c>
      <c r="S179" s="41" t="str">
        <f aca="false">IF(B179="","",B179&amp;"|"&amp;(YEAR(A179)*100+MONTH(A179)))</f>
        <v/>
      </c>
    </row>
    <row r="180" customFormat="false" ht="15" hidden="false" customHeight="false" outlineLevel="0" collapsed="false">
      <c r="A180" s="37"/>
      <c r="C180" s="0" t="str">
        <f aca="false">IF(B180="","",IFERROR(INDEX(Project_Register!$B$6:$B$40,MATCH(B180,Project_Register!$A$6:$A$40,0)),"Unknown ID"))</f>
        <v/>
      </c>
      <c r="D180" s="38"/>
      <c r="E180" s="24"/>
      <c r="F180" s="24"/>
      <c r="G180" s="39"/>
      <c r="J180" s="39"/>
      <c r="K180" s="38" t="str">
        <f aca="false">IF(OR(B180="",T180="On Hold"),"",MAX(0,MIN(1,(A180-INDEX(Project_Register!$G$6:$G$40,MATCH(B180,Project_Register!$A$6:$A$40,0)))/(INDEX(Project_Register!$H$6:$H$40,MATCH(B180,Project_Register!$A$6:$A$40,0))-INDEX(Project_Register!$G$6:$G$40,MATCH(B180,Project_Register!$A$6:$A$40,0))))))</f>
        <v/>
      </c>
      <c r="L180" s="40" t="str">
        <f aca="false">IF(OR(B180="",D180="",T180="On Hold"),"",ROUND((D180-K180)*100,0))</f>
        <v/>
      </c>
      <c r="M180" s="38" t="str">
        <f aca="false">IF(OR(B180="",F180=""),"",F180/INDEX(Project_Register!$I$6:$I$40,MATCH(B180,Project_Register!$A$6:$A$40,0)))</f>
        <v/>
      </c>
      <c r="N180" s="40" t="str">
        <f aca="false">IF(OR(B180="",G180="",T180="On Hold"),"",G180-INDEX(Project_Register!$H$6:$H$40,MATCH(B180,Project_Register!$A$6:$A$40,0)))</f>
        <v/>
      </c>
      <c r="O180" s="0" t="str">
        <f aca="false">IF(B180="","",IF(D180="","No update",IF(AND(T180&lt;&gt;"Active",D180&lt;1),T180,IF(D180&gt;=1,"Complete",IF(OR(L180&lt;=SV_Red,M180&gt;Cost_Red,N180&gt;Slip_Red),"Red",IF(OR(L180&lt;=SV_Amber,M180&gt;Cost_Amber,N180&gt;Slip_Amber),"Amber","Green"))))))</f>
        <v/>
      </c>
      <c r="P180" s="0" t="str">
        <f aca="false">IF(AND(H180="Green",OR(O180="Amber",O180="Red")),"Watermelon","")</f>
        <v/>
      </c>
      <c r="Q180" s="0" t="str">
        <f aca="false">IF(B180="","",IF(J180="","Missing",IF(J180&gt;A180+UpdateDue,"Late","On time")))</f>
        <v/>
      </c>
      <c r="R180" s="0" t="str">
        <f aca="false">IF(OR(B180="",D180=""),"",IF(COUNTIFS($B$6:$B$400,B180,$A$6:$A$400,EOMONTH(A180,-1))=0,"",IF(D180&lt;SUMIFS($D$6:$D$400,$B$6:$B$400,B180,$A$6:$A$400,EOMONTH(A180,-1)),"Dropped","")))</f>
        <v/>
      </c>
      <c r="S180" s="41" t="str">
        <f aca="false">IF(B180="","",B180&amp;"|"&amp;(YEAR(A180)*100+MONTH(A180)))</f>
        <v/>
      </c>
    </row>
    <row r="181" customFormat="false" ht="15" hidden="false" customHeight="false" outlineLevel="0" collapsed="false">
      <c r="A181" s="37"/>
      <c r="C181" s="0" t="str">
        <f aca="false">IF(B181="","",IFERROR(INDEX(Project_Register!$B$6:$B$40,MATCH(B181,Project_Register!$A$6:$A$40,0)),"Unknown ID"))</f>
        <v/>
      </c>
      <c r="D181" s="38"/>
      <c r="E181" s="24"/>
      <c r="F181" s="24"/>
      <c r="G181" s="39"/>
      <c r="J181" s="39"/>
      <c r="K181" s="38" t="str">
        <f aca="false">IF(OR(B181="",T181="On Hold"),"",MAX(0,MIN(1,(A181-INDEX(Project_Register!$G$6:$G$40,MATCH(B181,Project_Register!$A$6:$A$40,0)))/(INDEX(Project_Register!$H$6:$H$40,MATCH(B181,Project_Register!$A$6:$A$40,0))-INDEX(Project_Register!$G$6:$G$40,MATCH(B181,Project_Register!$A$6:$A$40,0))))))</f>
        <v/>
      </c>
      <c r="L181" s="40" t="str">
        <f aca="false">IF(OR(B181="",D181="",T181="On Hold"),"",ROUND((D181-K181)*100,0))</f>
        <v/>
      </c>
      <c r="M181" s="38" t="str">
        <f aca="false">IF(OR(B181="",F181=""),"",F181/INDEX(Project_Register!$I$6:$I$40,MATCH(B181,Project_Register!$A$6:$A$40,0)))</f>
        <v/>
      </c>
      <c r="N181" s="40" t="str">
        <f aca="false">IF(OR(B181="",G181="",T181="On Hold"),"",G181-INDEX(Project_Register!$H$6:$H$40,MATCH(B181,Project_Register!$A$6:$A$40,0)))</f>
        <v/>
      </c>
      <c r="O181" s="0" t="str">
        <f aca="false">IF(B181="","",IF(D181="","No update",IF(AND(T181&lt;&gt;"Active",D181&lt;1),T181,IF(D181&gt;=1,"Complete",IF(OR(L181&lt;=SV_Red,M181&gt;Cost_Red,N181&gt;Slip_Red),"Red",IF(OR(L181&lt;=SV_Amber,M181&gt;Cost_Amber,N181&gt;Slip_Amber),"Amber","Green"))))))</f>
        <v/>
      </c>
      <c r="P181" s="0" t="str">
        <f aca="false">IF(AND(H181="Green",OR(O181="Amber",O181="Red")),"Watermelon","")</f>
        <v/>
      </c>
      <c r="Q181" s="0" t="str">
        <f aca="false">IF(B181="","",IF(J181="","Missing",IF(J181&gt;A181+UpdateDue,"Late","On time")))</f>
        <v/>
      </c>
      <c r="R181" s="0" t="str">
        <f aca="false">IF(OR(B181="",D181=""),"",IF(COUNTIFS($B$6:$B$400,B181,$A$6:$A$400,EOMONTH(A181,-1))=0,"",IF(D181&lt;SUMIFS($D$6:$D$400,$B$6:$B$400,B181,$A$6:$A$400,EOMONTH(A181,-1)),"Dropped","")))</f>
        <v/>
      </c>
      <c r="S181" s="41" t="str">
        <f aca="false">IF(B181="","",B181&amp;"|"&amp;(YEAR(A181)*100+MONTH(A181)))</f>
        <v/>
      </c>
    </row>
    <row r="182" customFormat="false" ht="15" hidden="false" customHeight="false" outlineLevel="0" collapsed="false">
      <c r="A182" s="37"/>
      <c r="C182" s="0" t="str">
        <f aca="false">IF(B182="","",IFERROR(INDEX(Project_Register!$B$6:$B$40,MATCH(B182,Project_Register!$A$6:$A$40,0)),"Unknown ID"))</f>
        <v/>
      </c>
      <c r="D182" s="38"/>
      <c r="E182" s="24"/>
      <c r="F182" s="24"/>
      <c r="G182" s="39"/>
      <c r="J182" s="39"/>
      <c r="K182" s="38" t="str">
        <f aca="false">IF(OR(B182="",T182="On Hold"),"",MAX(0,MIN(1,(A182-INDEX(Project_Register!$G$6:$G$40,MATCH(B182,Project_Register!$A$6:$A$40,0)))/(INDEX(Project_Register!$H$6:$H$40,MATCH(B182,Project_Register!$A$6:$A$40,0))-INDEX(Project_Register!$G$6:$G$40,MATCH(B182,Project_Register!$A$6:$A$40,0))))))</f>
        <v/>
      </c>
      <c r="L182" s="40" t="str">
        <f aca="false">IF(OR(B182="",D182="",T182="On Hold"),"",ROUND((D182-K182)*100,0))</f>
        <v/>
      </c>
      <c r="M182" s="38" t="str">
        <f aca="false">IF(OR(B182="",F182=""),"",F182/INDEX(Project_Register!$I$6:$I$40,MATCH(B182,Project_Register!$A$6:$A$40,0)))</f>
        <v/>
      </c>
      <c r="N182" s="40" t="str">
        <f aca="false">IF(OR(B182="",G182="",T182="On Hold"),"",G182-INDEX(Project_Register!$H$6:$H$40,MATCH(B182,Project_Register!$A$6:$A$40,0)))</f>
        <v/>
      </c>
      <c r="O182" s="0" t="str">
        <f aca="false">IF(B182="","",IF(D182="","No update",IF(AND(T182&lt;&gt;"Active",D182&lt;1),T182,IF(D182&gt;=1,"Complete",IF(OR(L182&lt;=SV_Red,M182&gt;Cost_Red,N182&gt;Slip_Red),"Red",IF(OR(L182&lt;=SV_Amber,M182&gt;Cost_Amber,N182&gt;Slip_Amber),"Amber","Green"))))))</f>
        <v/>
      </c>
      <c r="P182" s="0" t="str">
        <f aca="false">IF(AND(H182="Green",OR(O182="Amber",O182="Red")),"Watermelon","")</f>
        <v/>
      </c>
      <c r="Q182" s="0" t="str">
        <f aca="false">IF(B182="","",IF(J182="","Missing",IF(J182&gt;A182+UpdateDue,"Late","On time")))</f>
        <v/>
      </c>
      <c r="R182" s="0" t="str">
        <f aca="false">IF(OR(B182="",D182=""),"",IF(COUNTIFS($B$6:$B$400,B182,$A$6:$A$400,EOMONTH(A182,-1))=0,"",IF(D182&lt;SUMIFS($D$6:$D$400,$B$6:$B$400,B182,$A$6:$A$400,EOMONTH(A182,-1)),"Dropped","")))</f>
        <v/>
      </c>
      <c r="S182" s="41" t="str">
        <f aca="false">IF(B182="","",B182&amp;"|"&amp;(YEAR(A182)*100+MONTH(A182)))</f>
        <v/>
      </c>
    </row>
    <row r="183" customFormat="false" ht="15" hidden="false" customHeight="false" outlineLevel="0" collapsed="false">
      <c r="A183" s="37"/>
      <c r="C183" s="0" t="str">
        <f aca="false">IF(B183="","",IFERROR(INDEX(Project_Register!$B$6:$B$40,MATCH(B183,Project_Register!$A$6:$A$40,0)),"Unknown ID"))</f>
        <v/>
      </c>
      <c r="D183" s="38"/>
      <c r="E183" s="24"/>
      <c r="F183" s="24"/>
      <c r="G183" s="39"/>
      <c r="J183" s="39"/>
      <c r="K183" s="38" t="str">
        <f aca="false">IF(OR(B183="",T183="On Hold"),"",MAX(0,MIN(1,(A183-INDEX(Project_Register!$G$6:$G$40,MATCH(B183,Project_Register!$A$6:$A$40,0)))/(INDEX(Project_Register!$H$6:$H$40,MATCH(B183,Project_Register!$A$6:$A$40,0))-INDEX(Project_Register!$G$6:$G$40,MATCH(B183,Project_Register!$A$6:$A$40,0))))))</f>
        <v/>
      </c>
      <c r="L183" s="40" t="str">
        <f aca="false">IF(OR(B183="",D183="",T183="On Hold"),"",ROUND((D183-K183)*100,0))</f>
        <v/>
      </c>
      <c r="M183" s="38" t="str">
        <f aca="false">IF(OR(B183="",F183=""),"",F183/INDEX(Project_Register!$I$6:$I$40,MATCH(B183,Project_Register!$A$6:$A$40,0)))</f>
        <v/>
      </c>
      <c r="N183" s="40" t="str">
        <f aca="false">IF(OR(B183="",G183="",T183="On Hold"),"",G183-INDEX(Project_Register!$H$6:$H$40,MATCH(B183,Project_Register!$A$6:$A$40,0)))</f>
        <v/>
      </c>
      <c r="O183" s="0" t="str">
        <f aca="false">IF(B183="","",IF(D183="","No update",IF(AND(T183&lt;&gt;"Active",D183&lt;1),T183,IF(D183&gt;=1,"Complete",IF(OR(L183&lt;=SV_Red,M183&gt;Cost_Red,N183&gt;Slip_Red),"Red",IF(OR(L183&lt;=SV_Amber,M183&gt;Cost_Amber,N183&gt;Slip_Amber),"Amber","Green"))))))</f>
        <v/>
      </c>
      <c r="P183" s="0" t="str">
        <f aca="false">IF(AND(H183="Green",OR(O183="Amber",O183="Red")),"Watermelon","")</f>
        <v/>
      </c>
      <c r="Q183" s="0" t="str">
        <f aca="false">IF(B183="","",IF(J183="","Missing",IF(J183&gt;A183+UpdateDue,"Late","On time")))</f>
        <v/>
      </c>
      <c r="R183" s="0" t="str">
        <f aca="false">IF(OR(B183="",D183=""),"",IF(COUNTIFS($B$6:$B$400,B183,$A$6:$A$400,EOMONTH(A183,-1))=0,"",IF(D183&lt;SUMIFS($D$6:$D$400,$B$6:$B$400,B183,$A$6:$A$400,EOMONTH(A183,-1)),"Dropped","")))</f>
        <v/>
      </c>
      <c r="S183" s="41" t="str">
        <f aca="false">IF(B183="","",B183&amp;"|"&amp;(YEAR(A183)*100+MONTH(A183)))</f>
        <v/>
      </c>
    </row>
    <row r="184" customFormat="false" ht="15" hidden="false" customHeight="false" outlineLevel="0" collapsed="false">
      <c r="A184" s="37"/>
      <c r="C184" s="0" t="str">
        <f aca="false">IF(B184="","",IFERROR(INDEX(Project_Register!$B$6:$B$40,MATCH(B184,Project_Register!$A$6:$A$40,0)),"Unknown ID"))</f>
        <v/>
      </c>
      <c r="D184" s="38"/>
      <c r="E184" s="24"/>
      <c r="F184" s="24"/>
      <c r="G184" s="39"/>
      <c r="J184" s="39"/>
      <c r="K184" s="38" t="str">
        <f aca="false">IF(OR(B184="",T184="On Hold"),"",MAX(0,MIN(1,(A184-INDEX(Project_Register!$G$6:$G$40,MATCH(B184,Project_Register!$A$6:$A$40,0)))/(INDEX(Project_Register!$H$6:$H$40,MATCH(B184,Project_Register!$A$6:$A$40,0))-INDEX(Project_Register!$G$6:$G$40,MATCH(B184,Project_Register!$A$6:$A$40,0))))))</f>
        <v/>
      </c>
      <c r="L184" s="40" t="str">
        <f aca="false">IF(OR(B184="",D184="",T184="On Hold"),"",ROUND((D184-K184)*100,0))</f>
        <v/>
      </c>
      <c r="M184" s="38" t="str">
        <f aca="false">IF(OR(B184="",F184=""),"",F184/INDEX(Project_Register!$I$6:$I$40,MATCH(B184,Project_Register!$A$6:$A$40,0)))</f>
        <v/>
      </c>
      <c r="N184" s="40" t="str">
        <f aca="false">IF(OR(B184="",G184="",T184="On Hold"),"",G184-INDEX(Project_Register!$H$6:$H$40,MATCH(B184,Project_Register!$A$6:$A$40,0)))</f>
        <v/>
      </c>
      <c r="O184" s="0" t="str">
        <f aca="false">IF(B184="","",IF(D184="","No update",IF(AND(T184&lt;&gt;"Active",D184&lt;1),T184,IF(D184&gt;=1,"Complete",IF(OR(L184&lt;=SV_Red,M184&gt;Cost_Red,N184&gt;Slip_Red),"Red",IF(OR(L184&lt;=SV_Amber,M184&gt;Cost_Amber,N184&gt;Slip_Amber),"Amber","Green"))))))</f>
        <v/>
      </c>
      <c r="P184" s="0" t="str">
        <f aca="false">IF(AND(H184="Green",OR(O184="Amber",O184="Red")),"Watermelon","")</f>
        <v/>
      </c>
      <c r="Q184" s="0" t="str">
        <f aca="false">IF(B184="","",IF(J184="","Missing",IF(J184&gt;A184+UpdateDue,"Late","On time")))</f>
        <v/>
      </c>
      <c r="R184" s="0" t="str">
        <f aca="false">IF(OR(B184="",D184=""),"",IF(COUNTIFS($B$6:$B$400,B184,$A$6:$A$400,EOMONTH(A184,-1))=0,"",IF(D184&lt;SUMIFS($D$6:$D$400,$B$6:$B$400,B184,$A$6:$A$400,EOMONTH(A184,-1)),"Dropped","")))</f>
        <v/>
      </c>
      <c r="S184" s="41" t="str">
        <f aca="false">IF(B184="","",B184&amp;"|"&amp;(YEAR(A184)*100+MONTH(A184)))</f>
        <v/>
      </c>
    </row>
    <row r="185" customFormat="false" ht="15" hidden="false" customHeight="false" outlineLevel="0" collapsed="false">
      <c r="A185" s="37"/>
      <c r="C185" s="0" t="str">
        <f aca="false">IF(B185="","",IFERROR(INDEX(Project_Register!$B$6:$B$40,MATCH(B185,Project_Register!$A$6:$A$40,0)),"Unknown ID"))</f>
        <v/>
      </c>
      <c r="D185" s="38"/>
      <c r="E185" s="24"/>
      <c r="F185" s="24"/>
      <c r="G185" s="39"/>
      <c r="J185" s="39"/>
      <c r="K185" s="38" t="str">
        <f aca="false">IF(OR(B185="",T185="On Hold"),"",MAX(0,MIN(1,(A185-INDEX(Project_Register!$G$6:$G$40,MATCH(B185,Project_Register!$A$6:$A$40,0)))/(INDEX(Project_Register!$H$6:$H$40,MATCH(B185,Project_Register!$A$6:$A$40,0))-INDEX(Project_Register!$G$6:$G$40,MATCH(B185,Project_Register!$A$6:$A$40,0))))))</f>
        <v/>
      </c>
      <c r="L185" s="40" t="str">
        <f aca="false">IF(OR(B185="",D185="",T185="On Hold"),"",ROUND((D185-K185)*100,0))</f>
        <v/>
      </c>
      <c r="M185" s="38" t="str">
        <f aca="false">IF(OR(B185="",F185=""),"",F185/INDEX(Project_Register!$I$6:$I$40,MATCH(B185,Project_Register!$A$6:$A$40,0)))</f>
        <v/>
      </c>
      <c r="N185" s="40" t="str">
        <f aca="false">IF(OR(B185="",G185="",T185="On Hold"),"",G185-INDEX(Project_Register!$H$6:$H$40,MATCH(B185,Project_Register!$A$6:$A$40,0)))</f>
        <v/>
      </c>
      <c r="O185" s="0" t="str">
        <f aca="false">IF(B185="","",IF(D185="","No update",IF(AND(T185&lt;&gt;"Active",D185&lt;1),T185,IF(D185&gt;=1,"Complete",IF(OR(L185&lt;=SV_Red,M185&gt;Cost_Red,N185&gt;Slip_Red),"Red",IF(OR(L185&lt;=SV_Amber,M185&gt;Cost_Amber,N185&gt;Slip_Amber),"Amber","Green"))))))</f>
        <v/>
      </c>
      <c r="P185" s="0" t="str">
        <f aca="false">IF(AND(H185="Green",OR(O185="Amber",O185="Red")),"Watermelon","")</f>
        <v/>
      </c>
      <c r="Q185" s="0" t="str">
        <f aca="false">IF(B185="","",IF(J185="","Missing",IF(J185&gt;A185+UpdateDue,"Late","On time")))</f>
        <v/>
      </c>
      <c r="R185" s="0" t="str">
        <f aca="false">IF(OR(B185="",D185=""),"",IF(COUNTIFS($B$6:$B$400,B185,$A$6:$A$400,EOMONTH(A185,-1))=0,"",IF(D185&lt;SUMIFS($D$6:$D$400,$B$6:$B$400,B185,$A$6:$A$400,EOMONTH(A185,-1)),"Dropped","")))</f>
        <v/>
      </c>
      <c r="S185" s="41" t="str">
        <f aca="false">IF(B185="","",B185&amp;"|"&amp;(YEAR(A185)*100+MONTH(A185)))</f>
        <v/>
      </c>
    </row>
    <row r="186" customFormat="false" ht="15" hidden="false" customHeight="false" outlineLevel="0" collapsed="false">
      <c r="A186" s="37"/>
      <c r="C186" s="0" t="str">
        <f aca="false">IF(B186="","",IFERROR(INDEX(Project_Register!$B$6:$B$40,MATCH(B186,Project_Register!$A$6:$A$40,0)),"Unknown ID"))</f>
        <v/>
      </c>
      <c r="D186" s="38"/>
      <c r="E186" s="24"/>
      <c r="F186" s="24"/>
      <c r="G186" s="39"/>
      <c r="J186" s="39"/>
      <c r="K186" s="38" t="str">
        <f aca="false">IF(OR(B186="",T186="On Hold"),"",MAX(0,MIN(1,(A186-INDEX(Project_Register!$G$6:$G$40,MATCH(B186,Project_Register!$A$6:$A$40,0)))/(INDEX(Project_Register!$H$6:$H$40,MATCH(B186,Project_Register!$A$6:$A$40,0))-INDEX(Project_Register!$G$6:$G$40,MATCH(B186,Project_Register!$A$6:$A$40,0))))))</f>
        <v/>
      </c>
      <c r="L186" s="40" t="str">
        <f aca="false">IF(OR(B186="",D186="",T186="On Hold"),"",ROUND((D186-K186)*100,0))</f>
        <v/>
      </c>
      <c r="M186" s="38" t="str">
        <f aca="false">IF(OR(B186="",F186=""),"",F186/INDEX(Project_Register!$I$6:$I$40,MATCH(B186,Project_Register!$A$6:$A$40,0)))</f>
        <v/>
      </c>
      <c r="N186" s="40" t="str">
        <f aca="false">IF(OR(B186="",G186="",T186="On Hold"),"",G186-INDEX(Project_Register!$H$6:$H$40,MATCH(B186,Project_Register!$A$6:$A$40,0)))</f>
        <v/>
      </c>
      <c r="O186" s="0" t="str">
        <f aca="false">IF(B186="","",IF(D186="","No update",IF(AND(T186&lt;&gt;"Active",D186&lt;1),T186,IF(D186&gt;=1,"Complete",IF(OR(L186&lt;=SV_Red,M186&gt;Cost_Red,N186&gt;Slip_Red),"Red",IF(OR(L186&lt;=SV_Amber,M186&gt;Cost_Amber,N186&gt;Slip_Amber),"Amber","Green"))))))</f>
        <v/>
      </c>
      <c r="P186" s="0" t="str">
        <f aca="false">IF(AND(H186="Green",OR(O186="Amber",O186="Red")),"Watermelon","")</f>
        <v/>
      </c>
      <c r="Q186" s="0" t="str">
        <f aca="false">IF(B186="","",IF(J186="","Missing",IF(J186&gt;A186+UpdateDue,"Late","On time")))</f>
        <v/>
      </c>
      <c r="R186" s="0" t="str">
        <f aca="false">IF(OR(B186="",D186=""),"",IF(COUNTIFS($B$6:$B$400,B186,$A$6:$A$400,EOMONTH(A186,-1))=0,"",IF(D186&lt;SUMIFS($D$6:$D$400,$B$6:$B$400,B186,$A$6:$A$400,EOMONTH(A186,-1)),"Dropped","")))</f>
        <v/>
      </c>
      <c r="S186" s="41" t="str">
        <f aca="false">IF(B186="","",B186&amp;"|"&amp;(YEAR(A186)*100+MONTH(A186)))</f>
        <v/>
      </c>
    </row>
    <row r="187" customFormat="false" ht="15" hidden="false" customHeight="false" outlineLevel="0" collapsed="false">
      <c r="A187" s="37"/>
      <c r="C187" s="0" t="str">
        <f aca="false">IF(B187="","",IFERROR(INDEX(Project_Register!$B$6:$B$40,MATCH(B187,Project_Register!$A$6:$A$40,0)),"Unknown ID"))</f>
        <v/>
      </c>
      <c r="D187" s="38"/>
      <c r="E187" s="24"/>
      <c r="F187" s="24"/>
      <c r="G187" s="39"/>
      <c r="J187" s="39"/>
      <c r="K187" s="38" t="str">
        <f aca="false">IF(OR(B187="",T187="On Hold"),"",MAX(0,MIN(1,(A187-INDEX(Project_Register!$G$6:$G$40,MATCH(B187,Project_Register!$A$6:$A$40,0)))/(INDEX(Project_Register!$H$6:$H$40,MATCH(B187,Project_Register!$A$6:$A$40,0))-INDEX(Project_Register!$G$6:$G$40,MATCH(B187,Project_Register!$A$6:$A$40,0))))))</f>
        <v/>
      </c>
      <c r="L187" s="40" t="str">
        <f aca="false">IF(OR(B187="",D187="",T187="On Hold"),"",ROUND((D187-K187)*100,0))</f>
        <v/>
      </c>
      <c r="M187" s="38" t="str">
        <f aca="false">IF(OR(B187="",F187=""),"",F187/INDEX(Project_Register!$I$6:$I$40,MATCH(B187,Project_Register!$A$6:$A$40,0)))</f>
        <v/>
      </c>
      <c r="N187" s="40" t="str">
        <f aca="false">IF(OR(B187="",G187="",T187="On Hold"),"",G187-INDEX(Project_Register!$H$6:$H$40,MATCH(B187,Project_Register!$A$6:$A$40,0)))</f>
        <v/>
      </c>
      <c r="O187" s="0" t="str">
        <f aca="false">IF(B187="","",IF(D187="","No update",IF(AND(T187&lt;&gt;"Active",D187&lt;1),T187,IF(D187&gt;=1,"Complete",IF(OR(L187&lt;=SV_Red,M187&gt;Cost_Red,N187&gt;Slip_Red),"Red",IF(OR(L187&lt;=SV_Amber,M187&gt;Cost_Amber,N187&gt;Slip_Amber),"Amber","Green"))))))</f>
        <v/>
      </c>
      <c r="P187" s="0" t="str">
        <f aca="false">IF(AND(H187="Green",OR(O187="Amber",O187="Red")),"Watermelon","")</f>
        <v/>
      </c>
      <c r="Q187" s="0" t="str">
        <f aca="false">IF(B187="","",IF(J187="","Missing",IF(J187&gt;A187+UpdateDue,"Late","On time")))</f>
        <v/>
      </c>
      <c r="R187" s="0" t="str">
        <f aca="false">IF(OR(B187="",D187=""),"",IF(COUNTIFS($B$6:$B$400,B187,$A$6:$A$400,EOMONTH(A187,-1))=0,"",IF(D187&lt;SUMIFS($D$6:$D$400,$B$6:$B$400,B187,$A$6:$A$400,EOMONTH(A187,-1)),"Dropped","")))</f>
        <v/>
      </c>
      <c r="S187" s="41" t="str">
        <f aca="false">IF(B187="","",B187&amp;"|"&amp;(YEAR(A187)*100+MONTH(A187)))</f>
        <v/>
      </c>
    </row>
    <row r="188" customFormat="false" ht="15" hidden="false" customHeight="false" outlineLevel="0" collapsed="false">
      <c r="A188" s="37"/>
      <c r="C188" s="0" t="str">
        <f aca="false">IF(B188="","",IFERROR(INDEX(Project_Register!$B$6:$B$40,MATCH(B188,Project_Register!$A$6:$A$40,0)),"Unknown ID"))</f>
        <v/>
      </c>
      <c r="D188" s="38"/>
      <c r="E188" s="24"/>
      <c r="F188" s="24"/>
      <c r="G188" s="39"/>
      <c r="J188" s="39"/>
      <c r="K188" s="38" t="str">
        <f aca="false">IF(OR(B188="",T188="On Hold"),"",MAX(0,MIN(1,(A188-INDEX(Project_Register!$G$6:$G$40,MATCH(B188,Project_Register!$A$6:$A$40,0)))/(INDEX(Project_Register!$H$6:$H$40,MATCH(B188,Project_Register!$A$6:$A$40,0))-INDEX(Project_Register!$G$6:$G$40,MATCH(B188,Project_Register!$A$6:$A$40,0))))))</f>
        <v/>
      </c>
      <c r="L188" s="40" t="str">
        <f aca="false">IF(OR(B188="",D188="",T188="On Hold"),"",ROUND((D188-K188)*100,0))</f>
        <v/>
      </c>
      <c r="M188" s="38" t="str">
        <f aca="false">IF(OR(B188="",F188=""),"",F188/INDEX(Project_Register!$I$6:$I$40,MATCH(B188,Project_Register!$A$6:$A$40,0)))</f>
        <v/>
      </c>
      <c r="N188" s="40" t="str">
        <f aca="false">IF(OR(B188="",G188="",T188="On Hold"),"",G188-INDEX(Project_Register!$H$6:$H$40,MATCH(B188,Project_Register!$A$6:$A$40,0)))</f>
        <v/>
      </c>
      <c r="O188" s="0" t="str">
        <f aca="false">IF(B188="","",IF(D188="","No update",IF(AND(T188&lt;&gt;"Active",D188&lt;1),T188,IF(D188&gt;=1,"Complete",IF(OR(L188&lt;=SV_Red,M188&gt;Cost_Red,N188&gt;Slip_Red),"Red",IF(OR(L188&lt;=SV_Amber,M188&gt;Cost_Amber,N188&gt;Slip_Amber),"Amber","Green"))))))</f>
        <v/>
      </c>
      <c r="P188" s="0" t="str">
        <f aca="false">IF(AND(H188="Green",OR(O188="Amber",O188="Red")),"Watermelon","")</f>
        <v/>
      </c>
      <c r="Q188" s="0" t="str">
        <f aca="false">IF(B188="","",IF(J188="","Missing",IF(J188&gt;A188+UpdateDue,"Late","On time")))</f>
        <v/>
      </c>
      <c r="R188" s="0" t="str">
        <f aca="false">IF(OR(B188="",D188=""),"",IF(COUNTIFS($B$6:$B$400,B188,$A$6:$A$400,EOMONTH(A188,-1))=0,"",IF(D188&lt;SUMIFS($D$6:$D$400,$B$6:$B$400,B188,$A$6:$A$400,EOMONTH(A188,-1)),"Dropped","")))</f>
        <v/>
      </c>
      <c r="S188" s="41" t="str">
        <f aca="false">IF(B188="","",B188&amp;"|"&amp;(YEAR(A188)*100+MONTH(A188)))</f>
        <v/>
      </c>
    </row>
    <row r="189" customFormat="false" ht="15" hidden="false" customHeight="false" outlineLevel="0" collapsed="false">
      <c r="A189" s="37"/>
      <c r="C189" s="0" t="str">
        <f aca="false">IF(B189="","",IFERROR(INDEX(Project_Register!$B$6:$B$40,MATCH(B189,Project_Register!$A$6:$A$40,0)),"Unknown ID"))</f>
        <v/>
      </c>
      <c r="D189" s="38"/>
      <c r="E189" s="24"/>
      <c r="F189" s="24"/>
      <c r="G189" s="39"/>
      <c r="J189" s="39"/>
      <c r="K189" s="38" t="str">
        <f aca="false">IF(OR(B189="",T189="On Hold"),"",MAX(0,MIN(1,(A189-INDEX(Project_Register!$G$6:$G$40,MATCH(B189,Project_Register!$A$6:$A$40,0)))/(INDEX(Project_Register!$H$6:$H$40,MATCH(B189,Project_Register!$A$6:$A$40,0))-INDEX(Project_Register!$G$6:$G$40,MATCH(B189,Project_Register!$A$6:$A$40,0))))))</f>
        <v/>
      </c>
      <c r="L189" s="40" t="str">
        <f aca="false">IF(OR(B189="",D189="",T189="On Hold"),"",ROUND((D189-K189)*100,0))</f>
        <v/>
      </c>
      <c r="M189" s="38" t="str">
        <f aca="false">IF(OR(B189="",F189=""),"",F189/INDEX(Project_Register!$I$6:$I$40,MATCH(B189,Project_Register!$A$6:$A$40,0)))</f>
        <v/>
      </c>
      <c r="N189" s="40" t="str">
        <f aca="false">IF(OR(B189="",G189="",T189="On Hold"),"",G189-INDEX(Project_Register!$H$6:$H$40,MATCH(B189,Project_Register!$A$6:$A$40,0)))</f>
        <v/>
      </c>
      <c r="O189" s="0" t="str">
        <f aca="false">IF(B189="","",IF(D189="","No update",IF(AND(T189&lt;&gt;"Active",D189&lt;1),T189,IF(D189&gt;=1,"Complete",IF(OR(L189&lt;=SV_Red,M189&gt;Cost_Red,N189&gt;Slip_Red),"Red",IF(OR(L189&lt;=SV_Amber,M189&gt;Cost_Amber,N189&gt;Slip_Amber),"Amber","Green"))))))</f>
        <v/>
      </c>
      <c r="P189" s="0" t="str">
        <f aca="false">IF(AND(H189="Green",OR(O189="Amber",O189="Red")),"Watermelon","")</f>
        <v/>
      </c>
      <c r="Q189" s="0" t="str">
        <f aca="false">IF(B189="","",IF(J189="","Missing",IF(J189&gt;A189+UpdateDue,"Late","On time")))</f>
        <v/>
      </c>
      <c r="R189" s="0" t="str">
        <f aca="false">IF(OR(B189="",D189=""),"",IF(COUNTIFS($B$6:$B$400,B189,$A$6:$A$400,EOMONTH(A189,-1))=0,"",IF(D189&lt;SUMIFS($D$6:$D$400,$B$6:$B$400,B189,$A$6:$A$400,EOMONTH(A189,-1)),"Dropped","")))</f>
        <v/>
      </c>
      <c r="S189" s="41" t="str">
        <f aca="false">IF(B189="","",B189&amp;"|"&amp;(YEAR(A189)*100+MONTH(A189)))</f>
        <v/>
      </c>
    </row>
    <row r="190" customFormat="false" ht="15" hidden="false" customHeight="false" outlineLevel="0" collapsed="false">
      <c r="A190" s="37"/>
      <c r="C190" s="0" t="str">
        <f aca="false">IF(B190="","",IFERROR(INDEX(Project_Register!$B$6:$B$40,MATCH(B190,Project_Register!$A$6:$A$40,0)),"Unknown ID"))</f>
        <v/>
      </c>
      <c r="D190" s="38"/>
      <c r="E190" s="24"/>
      <c r="F190" s="24"/>
      <c r="G190" s="39"/>
      <c r="J190" s="39"/>
      <c r="K190" s="38" t="str">
        <f aca="false">IF(OR(B190="",T190="On Hold"),"",MAX(0,MIN(1,(A190-INDEX(Project_Register!$G$6:$G$40,MATCH(B190,Project_Register!$A$6:$A$40,0)))/(INDEX(Project_Register!$H$6:$H$40,MATCH(B190,Project_Register!$A$6:$A$40,0))-INDEX(Project_Register!$G$6:$G$40,MATCH(B190,Project_Register!$A$6:$A$40,0))))))</f>
        <v/>
      </c>
      <c r="L190" s="40" t="str">
        <f aca="false">IF(OR(B190="",D190="",T190="On Hold"),"",ROUND((D190-K190)*100,0))</f>
        <v/>
      </c>
      <c r="M190" s="38" t="str">
        <f aca="false">IF(OR(B190="",F190=""),"",F190/INDEX(Project_Register!$I$6:$I$40,MATCH(B190,Project_Register!$A$6:$A$40,0)))</f>
        <v/>
      </c>
      <c r="N190" s="40" t="str">
        <f aca="false">IF(OR(B190="",G190="",T190="On Hold"),"",G190-INDEX(Project_Register!$H$6:$H$40,MATCH(B190,Project_Register!$A$6:$A$40,0)))</f>
        <v/>
      </c>
      <c r="O190" s="0" t="str">
        <f aca="false">IF(B190="","",IF(D190="","No update",IF(AND(T190&lt;&gt;"Active",D190&lt;1),T190,IF(D190&gt;=1,"Complete",IF(OR(L190&lt;=SV_Red,M190&gt;Cost_Red,N190&gt;Slip_Red),"Red",IF(OR(L190&lt;=SV_Amber,M190&gt;Cost_Amber,N190&gt;Slip_Amber),"Amber","Green"))))))</f>
        <v/>
      </c>
      <c r="P190" s="0" t="str">
        <f aca="false">IF(AND(H190="Green",OR(O190="Amber",O190="Red")),"Watermelon","")</f>
        <v/>
      </c>
      <c r="Q190" s="0" t="str">
        <f aca="false">IF(B190="","",IF(J190="","Missing",IF(J190&gt;A190+UpdateDue,"Late","On time")))</f>
        <v/>
      </c>
      <c r="R190" s="0" t="str">
        <f aca="false">IF(OR(B190="",D190=""),"",IF(COUNTIFS($B$6:$B$400,B190,$A$6:$A$400,EOMONTH(A190,-1))=0,"",IF(D190&lt;SUMIFS($D$6:$D$400,$B$6:$B$400,B190,$A$6:$A$400,EOMONTH(A190,-1)),"Dropped","")))</f>
        <v/>
      </c>
      <c r="S190" s="41" t="str">
        <f aca="false">IF(B190="","",B190&amp;"|"&amp;(YEAR(A190)*100+MONTH(A190)))</f>
        <v/>
      </c>
    </row>
    <row r="191" customFormat="false" ht="15" hidden="false" customHeight="false" outlineLevel="0" collapsed="false">
      <c r="A191" s="37"/>
      <c r="C191" s="0" t="str">
        <f aca="false">IF(B191="","",IFERROR(INDEX(Project_Register!$B$6:$B$40,MATCH(B191,Project_Register!$A$6:$A$40,0)),"Unknown ID"))</f>
        <v/>
      </c>
      <c r="D191" s="38"/>
      <c r="E191" s="24"/>
      <c r="F191" s="24"/>
      <c r="G191" s="39"/>
      <c r="J191" s="39"/>
      <c r="K191" s="38" t="str">
        <f aca="false">IF(OR(B191="",T191="On Hold"),"",MAX(0,MIN(1,(A191-INDEX(Project_Register!$G$6:$G$40,MATCH(B191,Project_Register!$A$6:$A$40,0)))/(INDEX(Project_Register!$H$6:$H$40,MATCH(B191,Project_Register!$A$6:$A$40,0))-INDEX(Project_Register!$G$6:$G$40,MATCH(B191,Project_Register!$A$6:$A$40,0))))))</f>
        <v/>
      </c>
      <c r="L191" s="40" t="str">
        <f aca="false">IF(OR(B191="",D191="",T191="On Hold"),"",ROUND((D191-K191)*100,0))</f>
        <v/>
      </c>
      <c r="M191" s="38" t="str">
        <f aca="false">IF(OR(B191="",F191=""),"",F191/INDEX(Project_Register!$I$6:$I$40,MATCH(B191,Project_Register!$A$6:$A$40,0)))</f>
        <v/>
      </c>
      <c r="N191" s="40" t="str">
        <f aca="false">IF(OR(B191="",G191="",T191="On Hold"),"",G191-INDEX(Project_Register!$H$6:$H$40,MATCH(B191,Project_Register!$A$6:$A$40,0)))</f>
        <v/>
      </c>
      <c r="O191" s="0" t="str">
        <f aca="false">IF(B191="","",IF(D191="","No update",IF(AND(T191&lt;&gt;"Active",D191&lt;1),T191,IF(D191&gt;=1,"Complete",IF(OR(L191&lt;=SV_Red,M191&gt;Cost_Red,N191&gt;Slip_Red),"Red",IF(OR(L191&lt;=SV_Amber,M191&gt;Cost_Amber,N191&gt;Slip_Amber),"Amber","Green"))))))</f>
        <v/>
      </c>
      <c r="P191" s="0" t="str">
        <f aca="false">IF(AND(H191="Green",OR(O191="Amber",O191="Red")),"Watermelon","")</f>
        <v/>
      </c>
      <c r="Q191" s="0" t="str">
        <f aca="false">IF(B191="","",IF(J191="","Missing",IF(J191&gt;A191+UpdateDue,"Late","On time")))</f>
        <v/>
      </c>
      <c r="R191" s="0" t="str">
        <f aca="false">IF(OR(B191="",D191=""),"",IF(COUNTIFS($B$6:$B$400,B191,$A$6:$A$400,EOMONTH(A191,-1))=0,"",IF(D191&lt;SUMIFS($D$6:$D$400,$B$6:$B$400,B191,$A$6:$A$400,EOMONTH(A191,-1)),"Dropped","")))</f>
        <v/>
      </c>
      <c r="S191" s="41" t="str">
        <f aca="false">IF(B191="","",B191&amp;"|"&amp;(YEAR(A191)*100+MONTH(A191)))</f>
        <v/>
      </c>
    </row>
    <row r="192" customFormat="false" ht="15" hidden="false" customHeight="false" outlineLevel="0" collapsed="false">
      <c r="A192" s="37"/>
      <c r="C192" s="0" t="str">
        <f aca="false">IF(B192="","",IFERROR(INDEX(Project_Register!$B$6:$B$40,MATCH(B192,Project_Register!$A$6:$A$40,0)),"Unknown ID"))</f>
        <v/>
      </c>
      <c r="D192" s="38"/>
      <c r="E192" s="24"/>
      <c r="F192" s="24"/>
      <c r="G192" s="39"/>
      <c r="J192" s="39"/>
      <c r="K192" s="38" t="str">
        <f aca="false">IF(OR(B192="",T192="On Hold"),"",MAX(0,MIN(1,(A192-INDEX(Project_Register!$G$6:$G$40,MATCH(B192,Project_Register!$A$6:$A$40,0)))/(INDEX(Project_Register!$H$6:$H$40,MATCH(B192,Project_Register!$A$6:$A$40,0))-INDEX(Project_Register!$G$6:$G$40,MATCH(B192,Project_Register!$A$6:$A$40,0))))))</f>
        <v/>
      </c>
      <c r="L192" s="40" t="str">
        <f aca="false">IF(OR(B192="",D192="",T192="On Hold"),"",ROUND((D192-K192)*100,0))</f>
        <v/>
      </c>
      <c r="M192" s="38" t="str">
        <f aca="false">IF(OR(B192="",F192=""),"",F192/INDEX(Project_Register!$I$6:$I$40,MATCH(B192,Project_Register!$A$6:$A$40,0)))</f>
        <v/>
      </c>
      <c r="N192" s="40" t="str">
        <f aca="false">IF(OR(B192="",G192="",T192="On Hold"),"",G192-INDEX(Project_Register!$H$6:$H$40,MATCH(B192,Project_Register!$A$6:$A$40,0)))</f>
        <v/>
      </c>
      <c r="O192" s="0" t="str">
        <f aca="false">IF(B192="","",IF(D192="","No update",IF(AND(T192&lt;&gt;"Active",D192&lt;1),T192,IF(D192&gt;=1,"Complete",IF(OR(L192&lt;=SV_Red,M192&gt;Cost_Red,N192&gt;Slip_Red),"Red",IF(OR(L192&lt;=SV_Amber,M192&gt;Cost_Amber,N192&gt;Slip_Amber),"Amber","Green"))))))</f>
        <v/>
      </c>
      <c r="P192" s="0" t="str">
        <f aca="false">IF(AND(H192="Green",OR(O192="Amber",O192="Red")),"Watermelon","")</f>
        <v/>
      </c>
      <c r="Q192" s="0" t="str">
        <f aca="false">IF(B192="","",IF(J192="","Missing",IF(J192&gt;A192+UpdateDue,"Late","On time")))</f>
        <v/>
      </c>
      <c r="R192" s="0" t="str">
        <f aca="false">IF(OR(B192="",D192=""),"",IF(COUNTIFS($B$6:$B$400,B192,$A$6:$A$400,EOMONTH(A192,-1))=0,"",IF(D192&lt;SUMIFS($D$6:$D$400,$B$6:$B$400,B192,$A$6:$A$400,EOMONTH(A192,-1)),"Dropped","")))</f>
        <v/>
      </c>
      <c r="S192" s="41" t="str">
        <f aca="false">IF(B192="","",B192&amp;"|"&amp;(YEAR(A192)*100+MONTH(A192)))</f>
        <v/>
      </c>
    </row>
    <row r="193" customFormat="false" ht="15" hidden="false" customHeight="false" outlineLevel="0" collapsed="false">
      <c r="A193" s="37"/>
      <c r="C193" s="0" t="str">
        <f aca="false">IF(B193="","",IFERROR(INDEX(Project_Register!$B$6:$B$40,MATCH(B193,Project_Register!$A$6:$A$40,0)),"Unknown ID"))</f>
        <v/>
      </c>
      <c r="D193" s="38"/>
      <c r="E193" s="24"/>
      <c r="F193" s="24"/>
      <c r="G193" s="39"/>
      <c r="J193" s="39"/>
      <c r="K193" s="38" t="str">
        <f aca="false">IF(OR(B193="",T193="On Hold"),"",MAX(0,MIN(1,(A193-INDEX(Project_Register!$G$6:$G$40,MATCH(B193,Project_Register!$A$6:$A$40,0)))/(INDEX(Project_Register!$H$6:$H$40,MATCH(B193,Project_Register!$A$6:$A$40,0))-INDEX(Project_Register!$G$6:$G$40,MATCH(B193,Project_Register!$A$6:$A$40,0))))))</f>
        <v/>
      </c>
      <c r="L193" s="40" t="str">
        <f aca="false">IF(OR(B193="",D193="",T193="On Hold"),"",ROUND((D193-K193)*100,0))</f>
        <v/>
      </c>
      <c r="M193" s="38" t="str">
        <f aca="false">IF(OR(B193="",F193=""),"",F193/INDEX(Project_Register!$I$6:$I$40,MATCH(B193,Project_Register!$A$6:$A$40,0)))</f>
        <v/>
      </c>
      <c r="N193" s="40" t="str">
        <f aca="false">IF(OR(B193="",G193="",T193="On Hold"),"",G193-INDEX(Project_Register!$H$6:$H$40,MATCH(B193,Project_Register!$A$6:$A$40,0)))</f>
        <v/>
      </c>
      <c r="O193" s="0" t="str">
        <f aca="false">IF(B193="","",IF(D193="","No update",IF(AND(T193&lt;&gt;"Active",D193&lt;1),T193,IF(D193&gt;=1,"Complete",IF(OR(L193&lt;=SV_Red,M193&gt;Cost_Red,N193&gt;Slip_Red),"Red",IF(OR(L193&lt;=SV_Amber,M193&gt;Cost_Amber,N193&gt;Slip_Amber),"Amber","Green"))))))</f>
        <v/>
      </c>
      <c r="P193" s="0" t="str">
        <f aca="false">IF(AND(H193="Green",OR(O193="Amber",O193="Red")),"Watermelon","")</f>
        <v/>
      </c>
      <c r="Q193" s="0" t="str">
        <f aca="false">IF(B193="","",IF(J193="","Missing",IF(J193&gt;A193+UpdateDue,"Late","On time")))</f>
        <v/>
      </c>
      <c r="R193" s="0" t="str">
        <f aca="false">IF(OR(B193="",D193=""),"",IF(COUNTIFS($B$6:$B$400,B193,$A$6:$A$400,EOMONTH(A193,-1))=0,"",IF(D193&lt;SUMIFS($D$6:$D$400,$B$6:$B$400,B193,$A$6:$A$400,EOMONTH(A193,-1)),"Dropped","")))</f>
        <v/>
      </c>
      <c r="S193" s="41" t="str">
        <f aca="false">IF(B193="","",B193&amp;"|"&amp;(YEAR(A193)*100+MONTH(A193)))</f>
        <v/>
      </c>
    </row>
    <row r="194" customFormat="false" ht="15" hidden="false" customHeight="false" outlineLevel="0" collapsed="false">
      <c r="A194" s="37"/>
      <c r="C194" s="0" t="str">
        <f aca="false">IF(B194="","",IFERROR(INDEX(Project_Register!$B$6:$B$40,MATCH(B194,Project_Register!$A$6:$A$40,0)),"Unknown ID"))</f>
        <v/>
      </c>
      <c r="D194" s="38"/>
      <c r="E194" s="24"/>
      <c r="F194" s="24"/>
      <c r="G194" s="39"/>
      <c r="J194" s="39"/>
      <c r="K194" s="38" t="str">
        <f aca="false">IF(OR(B194="",T194="On Hold"),"",MAX(0,MIN(1,(A194-INDEX(Project_Register!$G$6:$G$40,MATCH(B194,Project_Register!$A$6:$A$40,0)))/(INDEX(Project_Register!$H$6:$H$40,MATCH(B194,Project_Register!$A$6:$A$40,0))-INDEX(Project_Register!$G$6:$G$40,MATCH(B194,Project_Register!$A$6:$A$40,0))))))</f>
        <v/>
      </c>
      <c r="L194" s="40" t="str">
        <f aca="false">IF(OR(B194="",D194="",T194="On Hold"),"",ROUND((D194-K194)*100,0))</f>
        <v/>
      </c>
      <c r="M194" s="38" t="str">
        <f aca="false">IF(OR(B194="",F194=""),"",F194/INDEX(Project_Register!$I$6:$I$40,MATCH(B194,Project_Register!$A$6:$A$40,0)))</f>
        <v/>
      </c>
      <c r="N194" s="40" t="str">
        <f aca="false">IF(OR(B194="",G194="",T194="On Hold"),"",G194-INDEX(Project_Register!$H$6:$H$40,MATCH(B194,Project_Register!$A$6:$A$40,0)))</f>
        <v/>
      </c>
      <c r="O194" s="0" t="str">
        <f aca="false">IF(B194="","",IF(D194="","No update",IF(AND(T194&lt;&gt;"Active",D194&lt;1),T194,IF(D194&gt;=1,"Complete",IF(OR(L194&lt;=SV_Red,M194&gt;Cost_Red,N194&gt;Slip_Red),"Red",IF(OR(L194&lt;=SV_Amber,M194&gt;Cost_Amber,N194&gt;Slip_Amber),"Amber","Green"))))))</f>
        <v/>
      </c>
      <c r="P194" s="0" t="str">
        <f aca="false">IF(AND(H194="Green",OR(O194="Amber",O194="Red")),"Watermelon","")</f>
        <v/>
      </c>
      <c r="Q194" s="0" t="str">
        <f aca="false">IF(B194="","",IF(J194="","Missing",IF(J194&gt;A194+UpdateDue,"Late","On time")))</f>
        <v/>
      </c>
      <c r="R194" s="0" t="str">
        <f aca="false">IF(OR(B194="",D194=""),"",IF(COUNTIFS($B$6:$B$400,B194,$A$6:$A$400,EOMONTH(A194,-1))=0,"",IF(D194&lt;SUMIFS($D$6:$D$400,$B$6:$B$400,B194,$A$6:$A$400,EOMONTH(A194,-1)),"Dropped","")))</f>
        <v/>
      </c>
      <c r="S194" s="41" t="str">
        <f aca="false">IF(B194="","",B194&amp;"|"&amp;(YEAR(A194)*100+MONTH(A194)))</f>
        <v/>
      </c>
    </row>
    <row r="195" customFormat="false" ht="15" hidden="false" customHeight="false" outlineLevel="0" collapsed="false">
      <c r="A195" s="37"/>
      <c r="C195" s="0" t="str">
        <f aca="false">IF(B195="","",IFERROR(INDEX(Project_Register!$B$6:$B$40,MATCH(B195,Project_Register!$A$6:$A$40,0)),"Unknown ID"))</f>
        <v/>
      </c>
      <c r="D195" s="38"/>
      <c r="E195" s="24"/>
      <c r="F195" s="24"/>
      <c r="G195" s="39"/>
      <c r="J195" s="39"/>
      <c r="K195" s="38" t="str">
        <f aca="false">IF(OR(B195="",T195="On Hold"),"",MAX(0,MIN(1,(A195-INDEX(Project_Register!$G$6:$G$40,MATCH(B195,Project_Register!$A$6:$A$40,0)))/(INDEX(Project_Register!$H$6:$H$40,MATCH(B195,Project_Register!$A$6:$A$40,0))-INDEX(Project_Register!$G$6:$G$40,MATCH(B195,Project_Register!$A$6:$A$40,0))))))</f>
        <v/>
      </c>
      <c r="L195" s="40" t="str">
        <f aca="false">IF(OR(B195="",D195="",T195="On Hold"),"",ROUND((D195-K195)*100,0))</f>
        <v/>
      </c>
      <c r="M195" s="38" t="str">
        <f aca="false">IF(OR(B195="",F195=""),"",F195/INDEX(Project_Register!$I$6:$I$40,MATCH(B195,Project_Register!$A$6:$A$40,0)))</f>
        <v/>
      </c>
      <c r="N195" s="40" t="str">
        <f aca="false">IF(OR(B195="",G195="",T195="On Hold"),"",G195-INDEX(Project_Register!$H$6:$H$40,MATCH(B195,Project_Register!$A$6:$A$40,0)))</f>
        <v/>
      </c>
      <c r="O195" s="0" t="str">
        <f aca="false">IF(B195="","",IF(D195="","No update",IF(AND(T195&lt;&gt;"Active",D195&lt;1),T195,IF(D195&gt;=1,"Complete",IF(OR(L195&lt;=SV_Red,M195&gt;Cost_Red,N195&gt;Slip_Red),"Red",IF(OR(L195&lt;=SV_Amber,M195&gt;Cost_Amber,N195&gt;Slip_Amber),"Amber","Green"))))))</f>
        <v/>
      </c>
      <c r="P195" s="0" t="str">
        <f aca="false">IF(AND(H195="Green",OR(O195="Amber",O195="Red")),"Watermelon","")</f>
        <v/>
      </c>
      <c r="Q195" s="0" t="str">
        <f aca="false">IF(B195="","",IF(J195="","Missing",IF(J195&gt;A195+UpdateDue,"Late","On time")))</f>
        <v/>
      </c>
      <c r="R195" s="0" t="str">
        <f aca="false">IF(OR(B195="",D195=""),"",IF(COUNTIFS($B$6:$B$400,B195,$A$6:$A$400,EOMONTH(A195,-1))=0,"",IF(D195&lt;SUMIFS($D$6:$D$400,$B$6:$B$400,B195,$A$6:$A$400,EOMONTH(A195,-1)),"Dropped","")))</f>
        <v/>
      </c>
      <c r="S195" s="41" t="str">
        <f aca="false">IF(B195="","",B195&amp;"|"&amp;(YEAR(A195)*100+MONTH(A195)))</f>
        <v/>
      </c>
    </row>
    <row r="196" customFormat="false" ht="15" hidden="false" customHeight="false" outlineLevel="0" collapsed="false">
      <c r="A196" s="37"/>
      <c r="C196" s="0" t="str">
        <f aca="false">IF(B196="","",IFERROR(INDEX(Project_Register!$B$6:$B$40,MATCH(B196,Project_Register!$A$6:$A$40,0)),"Unknown ID"))</f>
        <v/>
      </c>
      <c r="D196" s="38"/>
      <c r="E196" s="24"/>
      <c r="F196" s="24"/>
      <c r="G196" s="39"/>
      <c r="J196" s="39"/>
      <c r="K196" s="38" t="str">
        <f aca="false">IF(OR(B196="",T196="On Hold"),"",MAX(0,MIN(1,(A196-INDEX(Project_Register!$G$6:$G$40,MATCH(B196,Project_Register!$A$6:$A$40,0)))/(INDEX(Project_Register!$H$6:$H$40,MATCH(B196,Project_Register!$A$6:$A$40,0))-INDEX(Project_Register!$G$6:$G$40,MATCH(B196,Project_Register!$A$6:$A$40,0))))))</f>
        <v/>
      </c>
      <c r="L196" s="40" t="str">
        <f aca="false">IF(OR(B196="",D196="",T196="On Hold"),"",ROUND((D196-K196)*100,0))</f>
        <v/>
      </c>
      <c r="M196" s="38" t="str">
        <f aca="false">IF(OR(B196="",F196=""),"",F196/INDEX(Project_Register!$I$6:$I$40,MATCH(B196,Project_Register!$A$6:$A$40,0)))</f>
        <v/>
      </c>
      <c r="N196" s="40" t="str">
        <f aca="false">IF(OR(B196="",G196="",T196="On Hold"),"",G196-INDEX(Project_Register!$H$6:$H$40,MATCH(B196,Project_Register!$A$6:$A$40,0)))</f>
        <v/>
      </c>
      <c r="O196" s="0" t="str">
        <f aca="false">IF(B196="","",IF(D196="","No update",IF(AND(T196&lt;&gt;"Active",D196&lt;1),T196,IF(D196&gt;=1,"Complete",IF(OR(L196&lt;=SV_Red,M196&gt;Cost_Red,N196&gt;Slip_Red),"Red",IF(OR(L196&lt;=SV_Amber,M196&gt;Cost_Amber,N196&gt;Slip_Amber),"Amber","Green"))))))</f>
        <v/>
      </c>
      <c r="P196" s="0" t="str">
        <f aca="false">IF(AND(H196="Green",OR(O196="Amber",O196="Red")),"Watermelon","")</f>
        <v/>
      </c>
      <c r="Q196" s="0" t="str">
        <f aca="false">IF(B196="","",IF(J196="","Missing",IF(J196&gt;A196+UpdateDue,"Late","On time")))</f>
        <v/>
      </c>
      <c r="R196" s="0" t="str">
        <f aca="false">IF(OR(B196="",D196=""),"",IF(COUNTIFS($B$6:$B$400,B196,$A$6:$A$400,EOMONTH(A196,-1))=0,"",IF(D196&lt;SUMIFS($D$6:$D$400,$B$6:$B$400,B196,$A$6:$A$400,EOMONTH(A196,-1)),"Dropped","")))</f>
        <v/>
      </c>
      <c r="S196" s="41" t="str">
        <f aca="false">IF(B196="","",B196&amp;"|"&amp;(YEAR(A196)*100+MONTH(A196)))</f>
        <v/>
      </c>
    </row>
    <row r="197" customFormat="false" ht="15" hidden="false" customHeight="false" outlineLevel="0" collapsed="false">
      <c r="A197" s="37"/>
      <c r="C197" s="0" t="str">
        <f aca="false">IF(B197="","",IFERROR(INDEX(Project_Register!$B$6:$B$40,MATCH(B197,Project_Register!$A$6:$A$40,0)),"Unknown ID"))</f>
        <v/>
      </c>
      <c r="D197" s="38"/>
      <c r="E197" s="24"/>
      <c r="F197" s="24"/>
      <c r="G197" s="39"/>
      <c r="J197" s="39"/>
      <c r="K197" s="38" t="str">
        <f aca="false">IF(OR(B197="",T197="On Hold"),"",MAX(0,MIN(1,(A197-INDEX(Project_Register!$G$6:$G$40,MATCH(B197,Project_Register!$A$6:$A$40,0)))/(INDEX(Project_Register!$H$6:$H$40,MATCH(B197,Project_Register!$A$6:$A$40,0))-INDEX(Project_Register!$G$6:$G$40,MATCH(B197,Project_Register!$A$6:$A$40,0))))))</f>
        <v/>
      </c>
      <c r="L197" s="40" t="str">
        <f aca="false">IF(OR(B197="",D197="",T197="On Hold"),"",ROUND((D197-K197)*100,0))</f>
        <v/>
      </c>
      <c r="M197" s="38" t="str">
        <f aca="false">IF(OR(B197="",F197=""),"",F197/INDEX(Project_Register!$I$6:$I$40,MATCH(B197,Project_Register!$A$6:$A$40,0)))</f>
        <v/>
      </c>
      <c r="N197" s="40" t="str">
        <f aca="false">IF(OR(B197="",G197="",T197="On Hold"),"",G197-INDEX(Project_Register!$H$6:$H$40,MATCH(B197,Project_Register!$A$6:$A$40,0)))</f>
        <v/>
      </c>
      <c r="O197" s="0" t="str">
        <f aca="false">IF(B197="","",IF(D197="","No update",IF(AND(T197&lt;&gt;"Active",D197&lt;1),T197,IF(D197&gt;=1,"Complete",IF(OR(L197&lt;=SV_Red,M197&gt;Cost_Red,N197&gt;Slip_Red),"Red",IF(OR(L197&lt;=SV_Amber,M197&gt;Cost_Amber,N197&gt;Slip_Amber),"Amber","Green"))))))</f>
        <v/>
      </c>
      <c r="P197" s="0" t="str">
        <f aca="false">IF(AND(H197="Green",OR(O197="Amber",O197="Red")),"Watermelon","")</f>
        <v/>
      </c>
      <c r="Q197" s="0" t="str">
        <f aca="false">IF(B197="","",IF(J197="","Missing",IF(J197&gt;A197+UpdateDue,"Late","On time")))</f>
        <v/>
      </c>
      <c r="R197" s="0" t="str">
        <f aca="false">IF(OR(B197="",D197=""),"",IF(COUNTIFS($B$6:$B$400,B197,$A$6:$A$400,EOMONTH(A197,-1))=0,"",IF(D197&lt;SUMIFS($D$6:$D$400,$B$6:$B$400,B197,$A$6:$A$400,EOMONTH(A197,-1)),"Dropped","")))</f>
        <v/>
      </c>
      <c r="S197" s="41" t="str">
        <f aca="false">IF(B197="","",B197&amp;"|"&amp;(YEAR(A197)*100+MONTH(A197)))</f>
        <v/>
      </c>
    </row>
    <row r="198" customFormat="false" ht="15" hidden="false" customHeight="false" outlineLevel="0" collapsed="false">
      <c r="A198" s="37"/>
      <c r="C198" s="0" t="str">
        <f aca="false">IF(B198="","",IFERROR(INDEX(Project_Register!$B$6:$B$40,MATCH(B198,Project_Register!$A$6:$A$40,0)),"Unknown ID"))</f>
        <v/>
      </c>
      <c r="D198" s="38"/>
      <c r="E198" s="24"/>
      <c r="F198" s="24"/>
      <c r="G198" s="39"/>
      <c r="J198" s="39"/>
      <c r="K198" s="38" t="str">
        <f aca="false">IF(OR(B198="",T198="On Hold"),"",MAX(0,MIN(1,(A198-INDEX(Project_Register!$G$6:$G$40,MATCH(B198,Project_Register!$A$6:$A$40,0)))/(INDEX(Project_Register!$H$6:$H$40,MATCH(B198,Project_Register!$A$6:$A$40,0))-INDEX(Project_Register!$G$6:$G$40,MATCH(B198,Project_Register!$A$6:$A$40,0))))))</f>
        <v/>
      </c>
      <c r="L198" s="40" t="str">
        <f aca="false">IF(OR(B198="",D198="",T198="On Hold"),"",ROUND((D198-K198)*100,0))</f>
        <v/>
      </c>
      <c r="M198" s="38" t="str">
        <f aca="false">IF(OR(B198="",F198=""),"",F198/INDEX(Project_Register!$I$6:$I$40,MATCH(B198,Project_Register!$A$6:$A$40,0)))</f>
        <v/>
      </c>
      <c r="N198" s="40" t="str">
        <f aca="false">IF(OR(B198="",G198="",T198="On Hold"),"",G198-INDEX(Project_Register!$H$6:$H$40,MATCH(B198,Project_Register!$A$6:$A$40,0)))</f>
        <v/>
      </c>
      <c r="O198" s="0" t="str">
        <f aca="false">IF(B198="","",IF(D198="","No update",IF(AND(T198&lt;&gt;"Active",D198&lt;1),T198,IF(D198&gt;=1,"Complete",IF(OR(L198&lt;=SV_Red,M198&gt;Cost_Red,N198&gt;Slip_Red),"Red",IF(OR(L198&lt;=SV_Amber,M198&gt;Cost_Amber,N198&gt;Slip_Amber),"Amber","Green"))))))</f>
        <v/>
      </c>
      <c r="P198" s="0" t="str">
        <f aca="false">IF(AND(H198="Green",OR(O198="Amber",O198="Red")),"Watermelon","")</f>
        <v/>
      </c>
      <c r="Q198" s="0" t="str">
        <f aca="false">IF(B198="","",IF(J198="","Missing",IF(J198&gt;A198+UpdateDue,"Late","On time")))</f>
        <v/>
      </c>
      <c r="R198" s="0" t="str">
        <f aca="false">IF(OR(B198="",D198=""),"",IF(COUNTIFS($B$6:$B$400,B198,$A$6:$A$400,EOMONTH(A198,-1))=0,"",IF(D198&lt;SUMIFS($D$6:$D$400,$B$6:$B$400,B198,$A$6:$A$400,EOMONTH(A198,-1)),"Dropped","")))</f>
        <v/>
      </c>
      <c r="S198" s="41" t="str">
        <f aca="false">IF(B198="","",B198&amp;"|"&amp;(YEAR(A198)*100+MONTH(A198)))</f>
        <v/>
      </c>
    </row>
    <row r="199" customFormat="false" ht="15" hidden="false" customHeight="false" outlineLevel="0" collapsed="false">
      <c r="A199" s="37"/>
      <c r="C199" s="0" t="str">
        <f aca="false">IF(B199="","",IFERROR(INDEX(Project_Register!$B$6:$B$40,MATCH(B199,Project_Register!$A$6:$A$40,0)),"Unknown ID"))</f>
        <v/>
      </c>
      <c r="D199" s="38"/>
      <c r="E199" s="24"/>
      <c r="F199" s="24"/>
      <c r="G199" s="39"/>
      <c r="J199" s="39"/>
      <c r="K199" s="38" t="str">
        <f aca="false">IF(OR(B199="",T199="On Hold"),"",MAX(0,MIN(1,(A199-INDEX(Project_Register!$G$6:$G$40,MATCH(B199,Project_Register!$A$6:$A$40,0)))/(INDEX(Project_Register!$H$6:$H$40,MATCH(B199,Project_Register!$A$6:$A$40,0))-INDEX(Project_Register!$G$6:$G$40,MATCH(B199,Project_Register!$A$6:$A$40,0))))))</f>
        <v/>
      </c>
      <c r="L199" s="40" t="str">
        <f aca="false">IF(OR(B199="",D199="",T199="On Hold"),"",ROUND((D199-K199)*100,0))</f>
        <v/>
      </c>
      <c r="M199" s="38" t="str">
        <f aca="false">IF(OR(B199="",F199=""),"",F199/INDEX(Project_Register!$I$6:$I$40,MATCH(B199,Project_Register!$A$6:$A$40,0)))</f>
        <v/>
      </c>
      <c r="N199" s="40" t="str">
        <f aca="false">IF(OR(B199="",G199="",T199="On Hold"),"",G199-INDEX(Project_Register!$H$6:$H$40,MATCH(B199,Project_Register!$A$6:$A$40,0)))</f>
        <v/>
      </c>
      <c r="O199" s="0" t="str">
        <f aca="false">IF(B199="","",IF(D199="","No update",IF(AND(T199&lt;&gt;"Active",D199&lt;1),T199,IF(D199&gt;=1,"Complete",IF(OR(L199&lt;=SV_Red,M199&gt;Cost_Red,N199&gt;Slip_Red),"Red",IF(OR(L199&lt;=SV_Amber,M199&gt;Cost_Amber,N199&gt;Slip_Amber),"Amber","Green"))))))</f>
        <v/>
      </c>
      <c r="P199" s="0" t="str">
        <f aca="false">IF(AND(H199="Green",OR(O199="Amber",O199="Red")),"Watermelon","")</f>
        <v/>
      </c>
      <c r="Q199" s="0" t="str">
        <f aca="false">IF(B199="","",IF(J199="","Missing",IF(J199&gt;A199+UpdateDue,"Late","On time")))</f>
        <v/>
      </c>
      <c r="R199" s="0" t="str">
        <f aca="false">IF(OR(B199="",D199=""),"",IF(COUNTIFS($B$6:$B$400,B199,$A$6:$A$400,EOMONTH(A199,-1))=0,"",IF(D199&lt;SUMIFS($D$6:$D$400,$B$6:$B$400,B199,$A$6:$A$400,EOMONTH(A199,-1)),"Dropped","")))</f>
        <v/>
      </c>
      <c r="S199" s="41" t="str">
        <f aca="false">IF(B199="","",B199&amp;"|"&amp;(YEAR(A199)*100+MONTH(A199)))</f>
        <v/>
      </c>
    </row>
    <row r="200" customFormat="false" ht="15" hidden="false" customHeight="false" outlineLevel="0" collapsed="false">
      <c r="A200" s="37"/>
      <c r="C200" s="0" t="str">
        <f aca="false">IF(B200="","",IFERROR(INDEX(Project_Register!$B$6:$B$40,MATCH(B200,Project_Register!$A$6:$A$40,0)),"Unknown ID"))</f>
        <v/>
      </c>
      <c r="D200" s="38"/>
      <c r="E200" s="24"/>
      <c r="F200" s="24"/>
      <c r="G200" s="39"/>
      <c r="J200" s="39"/>
      <c r="K200" s="38" t="str">
        <f aca="false">IF(OR(B200="",T200="On Hold"),"",MAX(0,MIN(1,(A200-INDEX(Project_Register!$G$6:$G$40,MATCH(B200,Project_Register!$A$6:$A$40,0)))/(INDEX(Project_Register!$H$6:$H$40,MATCH(B200,Project_Register!$A$6:$A$40,0))-INDEX(Project_Register!$G$6:$G$40,MATCH(B200,Project_Register!$A$6:$A$40,0))))))</f>
        <v/>
      </c>
      <c r="L200" s="40" t="str">
        <f aca="false">IF(OR(B200="",D200="",T200="On Hold"),"",ROUND((D200-K200)*100,0))</f>
        <v/>
      </c>
      <c r="M200" s="38" t="str">
        <f aca="false">IF(OR(B200="",F200=""),"",F200/INDEX(Project_Register!$I$6:$I$40,MATCH(B200,Project_Register!$A$6:$A$40,0)))</f>
        <v/>
      </c>
      <c r="N200" s="40" t="str">
        <f aca="false">IF(OR(B200="",G200="",T200="On Hold"),"",G200-INDEX(Project_Register!$H$6:$H$40,MATCH(B200,Project_Register!$A$6:$A$40,0)))</f>
        <v/>
      </c>
      <c r="O200" s="0" t="str">
        <f aca="false">IF(B200="","",IF(D200="","No update",IF(AND(T200&lt;&gt;"Active",D200&lt;1),T200,IF(D200&gt;=1,"Complete",IF(OR(L200&lt;=SV_Red,M200&gt;Cost_Red,N200&gt;Slip_Red),"Red",IF(OR(L200&lt;=SV_Amber,M200&gt;Cost_Amber,N200&gt;Slip_Amber),"Amber","Green"))))))</f>
        <v/>
      </c>
      <c r="P200" s="0" t="str">
        <f aca="false">IF(AND(H200="Green",OR(O200="Amber",O200="Red")),"Watermelon","")</f>
        <v/>
      </c>
      <c r="Q200" s="0" t="str">
        <f aca="false">IF(B200="","",IF(J200="","Missing",IF(J200&gt;A200+UpdateDue,"Late","On time")))</f>
        <v/>
      </c>
      <c r="R200" s="0" t="str">
        <f aca="false">IF(OR(B200="",D200=""),"",IF(COUNTIFS($B$6:$B$400,B200,$A$6:$A$400,EOMONTH(A200,-1))=0,"",IF(D200&lt;SUMIFS($D$6:$D$400,$B$6:$B$400,B200,$A$6:$A$400,EOMONTH(A200,-1)),"Dropped","")))</f>
        <v/>
      </c>
      <c r="S200" s="41" t="str">
        <f aca="false">IF(B200="","",B200&amp;"|"&amp;(YEAR(A200)*100+MONTH(A200)))</f>
        <v/>
      </c>
    </row>
    <row r="201" customFormat="false" ht="15" hidden="false" customHeight="false" outlineLevel="0" collapsed="false">
      <c r="A201" s="37"/>
      <c r="C201" s="0" t="str">
        <f aca="false">IF(B201="","",IFERROR(INDEX(Project_Register!$B$6:$B$40,MATCH(B201,Project_Register!$A$6:$A$40,0)),"Unknown ID"))</f>
        <v/>
      </c>
      <c r="D201" s="38"/>
      <c r="E201" s="24"/>
      <c r="F201" s="24"/>
      <c r="G201" s="39"/>
      <c r="J201" s="39"/>
      <c r="K201" s="38" t="str">
        <f aca="false">IF(OR(B201="",T201="On Hold"),"",MAX(0,MIN(1,(A201-INDEX(Project_Register!$G$6:$G$40,MATCH(B201,Project_Register!$A$6:$A$40,0)))/(INDEX(Project_Register!$H$6:$H$40,MATCH(B201,Project_Register!$A$6:$A$40,0))-INDEX(Project_Register!$G$6:$G$40,MATCH(B201,Project_Register!$A$6:$A$40,0))))))</f>
        <v/>
      </c>
      <c r="L201" s="40" t="str">
        <f aca="false">IF(OR(B201="",D201="",T201="On Hold"),"",ROUND((D201-K201)*100,0))</f>
        <v/>
      </c>
      <c r="M201" s="38" t="str">
        <f aca="false">IF(OR(B201="",F201=""),"",F201/INDEX(Project_Register!$I$6:$I$40,MATCH(B201,Project_Register!$A$6:$A$40,0)))</f>
        <v/>
      </c>
      <c r="N201" s="40" t="str">
        <f aca="false">IF(OR(B201="",G201="",T201="On Hold"),"",G201-INDEX(Project_Register!$H$6:$H$40,MATCH(B201,Project_Register!$A$6:$A$40,0)))</f>
        <v/>
      </c>
      <c r="O201" s="0" t="str">
        <f aca="false">IF(B201="","",IF(D201="","No update",IF(AND(T201&lt;&gt;"Active",D201&lt;1),T201,IF(D201&gt;=1,"Complete",IF(OR(L201&lt;=SV_Red,M201&gt;Cost_Red,N201&gt;Slip_Red),"Red",IF(OR(L201&lt;=SV_Amber,M201&gt;Cost_Amber,N201&gt;Slip_Amber),"Amber","Green"))))))</f>
        <v/>
      </c>
      <c r="P201" s="0" t="str">
        <f aca="false">IF(AND(H201="Green",OR(O201="Amber",O201="Red")),"Watermelon","")</f>
        <v/>
      </c>
      <c r="Q201" s="0" t="str">
        <f aca="false">IF(B201="","",IF(J201="","Missing",IF(J201&gt;A201+UpdateDue,"Late","On time")))</f>
        <v/>
      </c>
      <c r="R201" s="0" t="str">
        <f aca="false">IF(OR(B201="",D201=""),"",IF(COUNTIFS($B$6:$B$400,B201,$A$6:$A$400,EOMONTH(A201,-1))=0,"",IF(D201&lt;SUMIFS($D$6:$D$400,$B$6:$B$400,B201,$A$6:$A$400,EOMONTH(A201,-1)),"Dropped","")))</f>
        <v/>
      </c>
      <c r="S201" s="41" t="str">
        <f aca="false">IF(B201="","",B201&amp;"|"&amp;(YEAR(A201)*100+MONTH(A201)))</f>
        <v/>
      </c>
    </row>
    <row r="202" customFormat="false" ht="15" hidden="false" customHeight="false" outlineLevel="0" collapsed="false">
      <c r="A202" s="37"/>
      <c r="C202" s="0" t="str">
        <f aca="false">IF(B202="","",IFERROR(INDEX(Project_Register!$B$6:$B$40,MATCH(B202,Project_Register!$A$6:$A$40,0)),"Unknown ID"))</f>
        <v/>
      </c>
      <c r="D202" s="38"/>
      <c r="E202" s="24"/>
      <c r="F202" s="24"/>
      <c r="G202" s="39"/>
      <c r="J202" s="39"/>
      <c r="K202" s="38" t="str">
        <f aca="false">IF(OR(B202="",T202="On Hold"),"",MAX(0,MIN(1,(A202-INDEX(Project_Register!$G$6:$G$40,MATCH(B202,Project_Register!$A$6:$A$40,0)))/(INDEX(Project_Register!$H$6:$H$40,MATCH(B202,Project_Register!$A$6:$A$40,0))-INDEX(Project_Register!$G$6:$G$40,MATCH(B202,Project_Register!$A$6:$A$40,0))))))</f>
        <v/>
      </c>
      <c r="L202" s="40" t="str">
        <f aca="false">IF(OR(B202="",D202="",T202="On Hold"),"",ROUND((D202-K202)*100,0))</f>
        <v/>
      </c>
      <c r="M202" s="38" t="str">
        <f aca="false">IF(OR(B202="",F202=""),"",F202/INDEX(Project_Register!$I$6:$I$40,MATCH(B202,Project_Register!$A$6:$A$40,0)))</f>
        <v/>
      </c>
      <c r="N202" s="40" t="str">
        <f aca="false">IF(OR(B202="",G202="",T202="On Hold"),"",G202-INDEX(Project_Register!$H$6:$H$40,MATCH(B202,Project_Register!$A$6:$A$40,0)))</f>
        <v/>
      </c>
      <c r="O202" s="0" t="str">
        <f aca="false">IF(B202="","",IF(D202="","No update",IF(AND(T202&lt;&gt;"Active",D202&lt;1),T202,IF(D202&gt;=1,"Complete",IF(OR(L202&lt;=SV_Red,M202&gt;Cost_Red,N202&gt;Slip_Red),"Red",IF(OR(L202&lt;=SV_Amber,M202&gt;Cost_Amber,N202&gt;Slip_Amber),"Amber","Green"))))))</f>
        <v/>
      </c>
      <c r="P202" s="0" t="str">
        <f aca="false">IF(AND(H202="Green",OR(O202="Amber",O202="Red")),"Watermelon","")</f>
        <v/>
      </c>
      <c r="Q202" s="0" t="str">
        <f aca="false">IF(B202="","",IF(J202="","Missing",IF(J202&gt;A202+UpdateDue,"Late","On time")))</f>
        <v/>
      </c>
      <c r="R202" s="0" t="str">
        <f aca="false">IF(OR(B202="",D202=""),"",IF(COUNTIFS($B$6:$B$400,B202,$A$6:$A$400,EOMONTH(A202,-1))=0,"",IF(D202&lt;SUMIFS($D$6:$D$400,$B$6:$B$400,B202,$A$6:$A$400,EOMONTH(A202,-1)),"Dropped","")))</f>
        <v/>
      </c>
      <c r="S202" s="41" t="str">
        <f aca="false">IF(B202="","",B202&amp;"|"&amp;(YEAR(A202)*100+MONTH(A202)))</f>
        <v/>
      </c>
    </row>
    <row r="203" customFormat="false" ht="15" hidden="false" customHeight="false" outlineLevel="0" collapsed="false">
      <c r="A203" s="37"/>
      <c r="C203" s="0" t="str">
        <f aca="false">IF(B203="","",IFERROR(INDEX(Project_Register!$B$6:$B$40,MATCH(B203,Project_Register!$A$6:$A$40,0)),"Unknown ID"))</f>
        <v/>
      </c>
      <c r="D203" s="38"/>
      <c r="E203" s="24"/>
      <c r="F203" s="24"/>
      <c r="G203" s="39"/>
      <c r="J203" s="39"/>
      <c r="K203" s="38" t="str">
        <f aca="false">IF(OR(B203="",T203="On Hold"),"",MAX(0,MIN(1,(A203-INDEX(Project_Register!$G$6:$G$40,MATCH(B203,Project_Register!$A$6:$A$40,0)))/(INDEX(Project_Register!$H$6:$H$40,MATCH(B203,Project_Register!$A$6:$A$40,0))-INDEX(Project_Register!$G$6:$G$40,MATCH(B203,Project_Register!$A$6:$A$40,0))))))</f>
        <v/>
      </c>
      <c r="L203" s="40" t="str">
        <f aca="false">IF(OR(B203="",D203="",T203="On Hold"),"",ROUND((D203-K203)*100,0))</f>
        <v/>
      </c>
      <c r="M203" s="38" t="str">
        <f aca="false">IF(OR(B203="",F203=""),"",F203/INDEX(Project_Register!$I$6:$I$40,MATCH(B203,Project_Register!$A$6:$A$40,0)))</f>
        <v/>
      </c>
      <c r="N203" s="40" t="str">
        <f aca="false">IF(OR(B203="",G203="",T203="On Hold"),"",G203-INDEX(Project_Register!$H$6:$H$40,MATCH(B203,Project_Register!$A$6:$A$40,0)))</f>
        <v/>
      </c>
      <c r="O203" s="0" t="str">
        <f aca="false">IF(B203="","",IF(D203="","No update",IF(AND(T203&lt;&gt;"Active",D203&lt;1),T203,IF(D203&gt;=1,"Complete",IF(OR(L203&lt;=SV_Red,M203&gt;Cost_Red,N203&gt;Slip_Red),"Red",IF(OR(L203&lt;=SV_Amber,M203&gt;Cost_Amber,N203&gt;Slip_Amber),"Amber","Green"))))))</f>
        <v/>
      </c>
      <c r="P203" s="0" t="str">
        <f aca="false">IF(AND(H203="Green",OR(O203="Amber",O203="Red")),"Watermelon","")</f>
        <v/>
      </c>
      <c r="Q203" s="0" t="str">
        <f aca="false">IF(B203="","",IF(J203="","Missing",IF(J203&gt;A203+UpdateDue,"Late","On time")))</f>
        <v/>
      </c>
      <c r="R203" s="0" t="str">
        <f aca="false">IF(OR(B203="",D203=""),"",IF(COUNTIFS($B$6:$B$400,B203,$A$6:$A$400,EOMONTH(A203,-1))=0,"",IF(D203&lt;SUMIFS($D$6:$D$400,$B$6:$B$400,B203,$A$6:$A$400,EOMONTH(A203,-1)),"Dropped","")))</f>
        <v/>
      </c>
      <c r="S203" s="41" t="str">
        <f aca="false">IF(B203="","",B203&amp;"|"&amp;(YEAR(A203)*100+MONTH(A203)))</f>
        <v/>
      </c>
    </row>
    <row r="204" customFormat="false" ht="15" hidden="false" customHeight="false" outlineLevel="0" collapsed="false">
      <c r="A204" s="37"/>
      <c r="C204" s="0" t="str">
        <f aca="false">IF(B204="","",IFERROR(INDEX(Project_Register!$B$6:$B$40,MATCH(B204,Project_Register!$A$6:$A$40,0)),"Unknown ID"))</f>
        <v/>
      </c>
      <c r="D204" s="38"/>
      <c r="E204" s="24"/>
      <c r="F204" s="24"/>
      <c r="G204" s="39"/>
      <c r="J204" s="39"/>
      <c r="K204" s="38" t="str">
        <f aca="false">IF(OR(B204="",T204="On Hold"),"",MAX(0,MIN(1,(A204-INDEX(Project_Register!$G$6:$G$40,MATCH(B204,Project_Register!$A$6:$A$40,0)))/(INDEX(Project_Register!$H$6:$H$40,MATCH(B204,Project_Register!$A$6:$A$40,0))-INDEX(Project_Register!$G$6:$G$40,MATCH(B204,Project_Register!$A$6:$A$40,0))))))</f>
        <v/>
      </c>
      <c r="L204" s="40" t="str">
        <f aca="false">IF(OR(B204="",D204="",T204="On Hold"),"",ROUND((D204-K204)*100,0))</f>
        <v/>
      </c>
      <c r="M204" s="38" t="str">
        <f aca="false">IF(OR(B204="",F204=""),"",F204/INDEX(Project_Register!$I$6:$I$40,MATCH(B204,Project_Register!$A$6:$A$40,0)))</f>
        <v/>
      </c>
      <c r="N204" s="40" t="str">
        <f aca="false">IF(OR(B204="",G204="",T204="On Hold"),"",G204-INDEX(Project_Register!$H$6:$H$40,MATCH(B204,Project_Register!$A$6:$A$40,0)))</f>
        <v/>
      </c>
      <c r="O204" s="0" t="str">
        <f aca="false">IF(B204="","",IF(D204="","No update",IF(AND(T204&lt;&gt;"Active",D204&lt;1),T204,IF(D204&gt;=1,"Complete",IF(OR(L204&lt;=SV_Red,M204&gt;Cost_Red,N204&gt;Slip_Red),"Red",IF(OR(L204&lt;=SV_Amber,M204&gt;Cost_Amber,N204&gt;Slip_Amber),"Amber","Green"))))))</f>
        <v/>
      </c>
      <c r="P204" s="0" t="str">
        <f aca="false">IF(AND(H204="Green",OR(O204="Amber",O204="Red")),"Watermelon","")</f>
        <v/>
      </c>
      <c r="Q204" s="0" t="str">
        <f aca="false">IF(B204="","",IF(J204="","Missing",IF(J204&gt;A204+UpdateDue,"Late","On time")))</f>
        <v/>
      </c>
      <c r="R204" s="0" t="str">
        <f aca="false">IF(OR(B204="",D204=""),"",IF(COUNTIFS($B$6:$B$400,B204,$A$6:$A$400,EOMONTH(A204,-1))=0,"",IF(D204&lt;SUMIFS($D$6:$D$400,$B$6:$B$400,B204,$A$6:$A$400,EOMONTH(A204,-1)),"Dropped","")))</f>
        <v/>
      </c>
      <c r="S204" s="41" t="str">
        <f aca="false">IF(B204="","",B204&amp;"|"&amp;(YEAR(A204)*100+MONTH(A204)))</f>
        <v/>
      </c>
    </row>
    <row r="205" customFormat="false" ht="15" hidden="false" customHeight="false" outlineLevel="0" collapsed="false">
      <c r="A205" s="37"/>
      <c r="C205" s="0" t="str">
        <f aca="false">IF(B205="","",IFERROR(INDEX(Project_Register!$B$6:$B$40,MATCH(B205,Project_Register!$A$6:$A$40,0)),"Unknown ID"))</f>
        <v/>
      </c>
      <c r="D205" s="38"/>
      <c r="E205" s="24"/>
      <c r="F205" s="24"/>
      <c r="G205" s="39"/>
      <c r="J205" s="39"/>
      <c r="K205" s="38" t="str">
        <f aca="false">IF(OR(B205="",T205="On Hold"),"",MAX(0,MIN(1,(A205-INDEX(Project_Register!$G$6:$G$40,MATCH(B205,Project_Register!$A$6:$A$40,0)))/(INDEX(Project_Register!$H$6:$H$40,MATCH(B205,Project_Register!$A$6:$A$40,0))-INDEX(Project_Register!$G$6:$G$40,MATCH(B205,Project_Register!$A$6:$A$40,0))))))</f>
        <v/>
      </c>
      <c r="L205" s="40" t="str">
        <f aca="false">IF(OR(B205="",D205="",T205="On Hold"),"",ROUND((D205-K205)*100,0))</f>
        <v/>
      </c>
      <c r="M205" s="38" t="str">
        <f aca="false">IF(OR(B205="",F205=""),"",F205/INDEX(Project_Register!$I$6:$I$40,MATCH(B205,Project_Register!$A$6:$A$40,0)))</f>
        <v/>
      </c>
      <c r="N205" s="40" t="str">
        <f aca="false">IF(OR(B205="",G205="",T205="On Hold"),"",G205-INDEX(Project_Register!$H$6:$H$40,MATCH(B205,Project_Register!$A$6:$A$40,0)))</f>
        <v/>
      </c>
      <c r="O205" s="0" t="str">
        <f aca="false">IF(B205="","",IF(D205="","No update",IF(AND(T205&lt;&gt;"Active",D205&lt;1),T205,IF(D205&gt;=1,"Complete",IF(OR(L205&lt;=SV_Red,M205&gt;Cost_Red,N205&gt;Slip_Red),"Red",IF(OR(L205&lt;=SV_Amber,M205&gt;Cost_Amber,N205&gt;Slip_Amber),"Amber","Green"))))))</f>
        <v/>
      </c>
      <c r="P205" s="0" t="str">
        <f aca="false">IF(AND(H205="Green",OR(O205="Amber",O205="Red")),"Watermelon","")</f>
        <v/>
      </c>
      <c r="Q205" s="0" t="str">
        <f aca="false">IF(B205="","",IF(J205="","Missing",IF(J205&gt;A205+UpdateDue,"Late","On time")))</f>
        <v/>
      </c>
      <c r="R205" s="0" t="str">
        <f aca="false">IF(OR(B205="",D205=""),"",IF(COUNTIFS($B$6:$B$400,B205,$A$6:$A$400,EOMONTH(A205,-1))=0,"",IF(D205&lt;SUMIFS($D$6:$D$400,$B$6:$B$400,B205,$A$6:$A$400,EOMONTH(A205,-1)),"Dropped","")))</f>
        <v/>
      </c>
      <c r="S205" s="41" t="str">
        <f aca="false">IF(B205="","",B205&amp;"|"&amp;(YEAR(A205)*100+MONTH(A205)))</f>
        <v/>
      </c>
    </row>
    <row r="206" customFormat="false" ht="15" hidden="false" customHeight="false" outlineLevel="0" collapsed="false">
      <c r="A206" s="37"/>
      <c r="C206" s="0" t="str">
        <f aca="false">IF(B206="","",IFERROR(INDEX(Project_Register!$B$6:$B$40,MATCH(B206,Project_Register!$A$6:$A$40,0)),"Unknown ID"))</f>
        <v/>
      </c>
      <c r="D206" s="38"/>
      <c r="E206" s="24"/>
      <c r="F206" s="24"/>
      <c r="G206" s="39"/>
      <c r="J206" s="39"/>
      <c r="K206" s="38" t="str">
        <f aca="false">IF(OR(B206="",T206="On Hold"),"",MAX(0,MIN(1,(A206-INDEX(Project_Register!$G$6:$G$40,MATCH(B206,Project_Register!$A$6:$A$40,0)))/(INDEX(Project_Register!$H$6:$H$40,MATCH(B206,Project_Register!$A$6:$A$40,0))-INDEX(Project_Register!$G$6:$G$40,MATCH(B206,Project_Register!$A$6:$A$40,0))))))</f>
        <v/>
      </c>
      <c r="L206" s="40" t="str">
        <f aca="false">IF(OR(B206="",D206="",T206="On Hold"),"",ROUND((D206-K206)*100,0))</f>
        <v/>
      </c>
      <c r="M206" s="38" t="str">
        <f aca="false">IF(OR(B206="",F206=""),"",F206/INDEX(Project_Register!$I$6:$I$40,MATCH(B206,Project_Register!$A$6:$A$40,0)))</f>
        <v/>
      </c>
      <c r="N206" s="40" t="str">
        <f aca="false">IF(OR(B206="",G206="",T206="On Hold"),"",G206-INDEX(Project_Register!$H$6:$H$40,MATCH(B206,Project_Register!$A$6:$A$40,0)))</f>
        <v/>
      </c>
      <c r="O206" s="0" t="str">
        <f aca="false">IF(B206="","",IF(D206="","No update",IF(AND(T206&lt;&gt;"Active",D206&lt;1),T206,IF(D206&gt;=1,"Complete",IF(OR(L206&lt;=SV_Red,M206&gt;Cost_Red,N206&gt;Slip_Red),"Red",IF(OR(L206&lt;=SV_Amber,M206&gt;Cost_Amber,N206&gt;Slip_Amber),"Amber","Green"))))))</f>
        <v/>
      </c>
      <c r="P206" s="0" t="str">
        <f aca="false">IF(AND(H206="Green",OR(O206="Amber",O206="Red")),"Watermelon","")</f>
        <v/>
      </c>
      <c r="Q206" s="0" t="str">
        <f aca="false">IF(B206="","",IF(J206="","Missing",IF(J206&gt;A206+UpdateDue,"Late","On time")))</f>
        <v/>
      </c>
      <c r="R206" s="0" t="str">
        <f aca="false">IF(OR(B206="",D206=""),"",IF(COUNTIFS($B$6:$B$400,B206,$A$6:$A$400,EOMONTH(A206,-1))=0,"",IF(D206&lt;SUMIFS($D$6:$D$400,$B$6:$B$400,B206,$A$6:$A$400,EOMONTH(A206,-1)),"Dropped","")))</f>
        <v/>
      </c>
      <c r="S206" s="41" t="str">
        <f aca="false">IF(B206="","",B206&amp;"|"&amp;(YEAR(A206)*100+MONTH(A206)))</f>
        <v/>
      </c>
    </row>
    <row r="207" customFormat="false" ht="15" hidden="false" customHeight="false" outlineLevel="0" collapsed="false">
      <c r="A207" s="37"/>
      <c r="C207" s="0" t="str">
        <f aca="false">IF(B207="","",IFERROR(INDEX(Project_Register!$B$6:$B$40,MATCH(B207,Project_Register!$A$6:$A$40,0)),"Unknown ID"))</f>
        <v/>
      </c>
      <c r="D207" s="38"/>
      <c r="E207" s="24"/>
      <c r="F207" s="24"/>
      <c r="G207" s="39"/>
      <c r="J207" s="39"/>
      <c r="K207" s="38" t="str">
        <f aca="false">IF(OR(B207="",T207="On Hold"),"",MAX(0,MIN(1,(A207-INDEX(Project_Register!$G$6:$G$40,MATCH(B207,Project_Register!$A$6:$A$40,0)))/(INDEX(Project_Register!$H$6:$H$40,MATCH(B207,Project_Register!$A$6:$A$40,0))-INDEX(Project_Register!$G$6:$G$40,MATCH(B207,Project_Register!$A$6:$A$40,0))))))</f>
        <v/>
      </c>
      <c r="L207" s="40" t="str">
        <f aca="false">IF(OR(B207="",D207="",T207="On Hold"),"",ROUND((D207-K207)*100,0))</f>
        <v/>
      </c>
      <c r="M207" s="38" t="str">
        <f aca="false">IF(OR(B207="",F207=""),"",F207/INDEX(Project_Register!$I$6:$I$40,MATCH(B207,Project_Register!$A$6:$A$40,0)))</f>
        <v/>
      </c>
      <c r="N207" s="40" t="str">
        <f aca="false">IF(OR(B207="",G207="",T207="On Hold"),"",G207-INDEX(Project_Register!$H$6:$H$40,MATCH(B207,Project_Register!$A$6:$A$40,0)))</f>
        <v/>
      </c>
      <c r="O207" s="0" t="str">
        <f aca="false">IF(B207="","",IF(D207="","No update",IF(AND(T207&lt;&gt;"Active",D207&lt;1),T207,IF(D207&gt;=1,"Complete",IF(OR(L207&lt;=SV_Red,M207&gt;Cost_Red,N207&gt;Slip_Red),"Red",IF(OR(L207&lt;=SV_Amber,M207&gt;Cost_Amber,N207&gt;Slip_Amber),"Amber","Green"))))))</f>
        <v/>
      </c>
      <c r="P207" s="0" t="str">
        <f aca="false">IF(AND(H207="Green",OR(O207="Amber",O207="Red")),"Watermelon","")</f>
        <v/>
      </c>
      <c r="Q207" s="0" t="str">
        <f aca="false">IF(B207="","",IF(J207="","Missing",IF(J207&gt;A207+UpdateDue,"Late","On time")))</f>
        <v/>
      </c>
      <c r="R207" s="0" t="str">
        <f aca="false">IF(OR(B207="",D207=""),"",IF(COUNTIFS($B$6:$B$400,B207,$A$6:$A$400,EOMONTH(A207,-1))=0,"",IF(D207&lt;SUMIFS($D$6:$D$400,$B$6:$B$400,B207,$A$6:$A$400,EOMONTH(A207,-1)),"Dropped","")))</f>
        <v/>
      </c>
      <c r="S207" s="41" t="str">
        <f aca="false">IF(B207="","",B207&amp;"|"&amp;(YEAR(A207)*100+MONTH(A207)))</f>
        <v/>
      </c>
    </row>
    <row r="208" customFormat="false" ht="15" hidden="false" customHeight="false" outlineLevel="0" collapsed="false">
      <c r="A208" s="37"/>
      <c r="C208" s="0" t="str">
        <f aca="false">IF(B208="","",IFERROR(INDEX(Project_Register!$B$6:$B$40,MATCH(B208,Project_Register!$A$6:$A$40,0)),"Unknown ID"))</f>
        <v/>
      </c>
      <c r="D208" s="38"/>
      <c r="E208" s="24"/>
      <c r="F208" s="24"/>
      <c r="G208" s="39"/>
      <c r="J208" s="39"/>
      <c r="K208" s="38" t="str">
        <f aca="false">IF(OR(B208="",T208="On Hold"),"",MAX(0,MIN(1,(A208-INDEX(Project_Register!$G$6:$G$40,MATCH(B208,Project_Register!$A$6:$A$40,0)))/(INDEX(Project_Register!$H$6:$H$40,MATCH(B208,Project_Register!$A$6:$A$40,0))-INDEX(Project_Register!$G$6:$G$40,MATCH(B208,Project_Register!$A$6:$A$40,0))))))</f>
        <v/>
      </c>
      <c r="L208" s="40" t="str">
        <f aca="false">IF(OR(B208="",D208="",T208="On Hold"),"",ROUND((D208-K208)*100,0))</f>
        <v/>
      </c>
      <c r="M208" s="38" t="str">
        <f aca="false">IF(OR(B208="",F208=""),"",F208/INDEX(Project_Register!$I$6:$I$40,MATCH(B208,Project_Register!$A$6:$A$40,0)))</f>
        <v/>
      </c>
      <c r="N208" s="40" t="str">
        <f aca="false">IF(OR(B208="",G208="",T208="On Hold"),"",G208-INDEX(Project_Register!$H$6:$H$40,MATCH(B208,Project_Register!$A$6:$A$40,0)))</f>
        <v/>
      </c>
      <c r="O208" s="0" t="str">
        <f aca="false">IF(B208="","",IF(D208="","No update",IF(AND(T208&lt;&gt;"Active",D208&lt;1),T208,IF(D208&gt;=1,"Complete",IF(OR(L208&lt;=SV_Red,M208&gt;Cost_Red,N208&gt;Slip_Red),"Red",IF(OR(L208&lt;=SV_Amber,M208&gt;Cost_Amber,N208&gt;Slip_Amber),"Amber","Green"))))))</f>
        <v/>
      </c>
      <c r="P208" s="0" t="str">
        <f aca="false">IF(AND(H208="Green",OR(O208="Amber",O208="Red")),"Watermelon","")</f>
        <v/>
      </c>
      <c r="Q208" s="0" t="str">
        <f aca="false">IF(B208="","",IF(J208="","Missing",IF(J208&gt;A208+UpdateDue,"Late","On time")))</f>
        <v/>
      </c>
      <c r="R208" s="0" t="str">
        <f aca="false">IF(OR(B208="",D208=""),"",IF(COUNTIFS($B$6:$B$400,B208,$A$6:$A$400,EOMONTH(A208,-1))=0,"",IF(D208&lt;SUMIFS($D$6:$D$400,$B$6:$B$400,B208,$A$6:$A$400,EOMONTH(A208,-1)),"Dropped","")))</f>
        <v/>
      </c>
      <c r="S208" s="41" t="str">
        <f aca="false">IF(B208="","",B208&amp;"|"&amp;(YEAR(A208)*100+MONTH(A208)))</f>
        <v/>
      </c>
    </row>
    <row r="209" customFormat="false" ht="15" hidden="false" customHeight="false" outlineLevel="0" collapsed="false">
      <c r="A209" s="37"/>
      <c r="C209" s="0" t="str">
        <f aca="false">IF(B209="","",IFERROR(INDEX(Project_Register!$B$6:$B$40,MATCH(B209,Project_Register!$A$6:$A$40,0)),"Unknown ID"))</f>
        <v/>
      </c>
      <c r="D209" s="38"/>
      <c r="E209" s="24"/>
      <c r="F209" s="24"/>
      <c r="G209" s="39"/>
      <c r="J209" s="39"/>
      <c r="K209" s="38" t="str">
        <f aca="false">IF(OR(B209="",T209="On Hold"),"",MAX(0,MIN(1,(A209-INDEX(Project_Register!$G$6:$G$40,MATCH(B209,Project_Register!$A$6:$A$40,0)))/(INDEX(Project_Register!$H$6:$H$40,MATCH(B209,Project_Register!$A$6:$A$40,0))-INDEX(Project_Register!$G$6:$G$40,MATCH(B209,Project_Register!$A$6:$A$40,0))))))</f>
        <v/>
      </c>
      <c r="L209" s="40" t="str">
        <f aca="false">IF(OR(B209="",D209="",T209="On Hold"),"",ROUND((D209-K209)*100,0))</f>
        <v/>
      </c>
      <c r="M209" s="38" t="str">
        <f aca="false">IF(OR(B209="",F209=""),"",F209/INDEX(Project_Register!$I$6:$I$40,MATCH(B209,Project_Register!$A$6:$A$40,0)))</f>
        <v/>
      </c>
      <c r="N209" s="40" t="str">
        <f aca="false">IF(OR(B209="",G209="",T209="On Hold"),"",G209-INDEX(Project_Register!$H$6:$H$40,MATCH(B209,Project_Register!$A$6:$A$40,0)))</f>
        <v/>
      </c>
      <c r="O209" s="0" t="str">
        <f aca="false">IF(B209="","",IF(D209="","No update",IF(AND(T209&lt;&gt;"Active",D209&lt;1),T209,IF(D209&gt;=1,"Complete",IF(OR(L209&lt;=SV_Red,M209&gt;Cost_Red,N209&gt;Slip_Red),"Red",IF(OR(L209&lt;=SV_Amber,M209&gt;Cost_Amber,N209&gt;Slip_Amber),"Amber","Green"))))))</f>
        <v/>
      </c>
      <c r="P209" s="0" t="str">
        <f aca="false">IF(AND(H209="Green",OR(O209="Amber",O209="Red")),"Watermelon","")</f>
        <v/>
      </c>
      <c r="Q209" s="0" t="str">
        <f aca="false">IF(B209="","",IF(J209="","Missing",IF(J209&gt;A209+UpdateDue,"Late","On time")))</f>
        <v/>
      </c>
      <c r="R209" s="0" t="str">
        <f aca="false">IF(OR(B209="",D209=""),"",IF(COUNTIFS($B$6:$B$400,B209,$A$6:$A$400,EOMONTH(A209,-1))=0,"",IF(D209&lt;SUMIFS($D$6:$D$400,$B$6:$B$400,B209,$A$6:$A$400,EOMONTH(A209,-1)),"Dropped","")))</f>
        <v/>
      </c>
      <c r="S209" s="41" t="str">
        <f aca="false">IF(B209="","",B209&amp;"|"&amp;(YEAR(A209)*100+MONTH(A209)))</f>
        <v/>
      </c>
    </row>
    <row r="210" customFormat="false" ht="15" hidden="false" customHeight="false" outlineLevel="0" collapsed="false">
      <c r="A210" s="37"/>
      <c r="C210" s="0" t="str">
        <f aca="false">IF(B210="","",IFERROR(INDEX(Project_Register!$B$6:$B$40,MATCH(B210,Project_Register!$A$6:$A$40,0)),"Unknown ID"))</f>
        <v/>
      </c>
      <c r="D210" s="38"/>
      <c r="E210" s="24"/>
      <c r="F210" s="24"/>
      <c r="G210" s="39"/>
      <c r="J210" s="39"/>
      <c r="K210" s="38" t="str">
        <f aca="false">IF(OR(B210="",T210="On Hold"),"",MAX(0,MIN(1,(A210-INDEX(Project_Register!$G$6:$G$40,MATCH(B210,Project_Register!$A$6:$A$40,0)))/(INDEX(Project_Register!$H$6:$H$40,MATCH(B210,Project_Register!$A$6:$A$40,0))-INDEX(Project_Register!$G$6:$G$40,MATCH(B210,Project_Register!$A$6:$A$40,0))))))</f>
        <v/>
      </c>
      <c r="L210" s="40" t="str">
        <f aca="false">IF(OR(B210="",D210="",T210="On Hold"),"",ROUND((D210-K210)*100,0))</f>
        <v/>
      </c>
      <c r="M210" s="38" t="str">
        <f aca="false">IF(OR(B210="",F210=""),"",F210/INDEX(Project_Register!$I$6:$I$40,MATCH(B210,Project_Register!$A$6:$A$40,0)))</f>
        <v/>
      </c>
      <c r="N210" s="40" t="str">
        <f aca="false">IF(OR(B210="",G210="",T210="On Hold"),"",G210-INDEX(Project_Register!$H$6:$H$40,MATCH(B210,Project_Register!$A$6:$A$40,0)))</f>
        <v/>
      </c>
      <c r="O210" s="0" t="str">
        <f aca="false">IF(B210="","",IF(D210="","No update",IF(AND(T210&lt;&gt;"Active",D210&lt;1),T210,IF(D210&gt;=1,"Complete",IF(OR(L210&lt;=SV_Red,M210&gt;Cost_Red,N210&gt;Slip_Red),"Red",IF(OR(L210&lt;=SV_Amber,M210&gt;Cost_Amber,N210&gt;Slip_Amber),"Amber","Green"))))))</f>
        <v/>
      </c>
      <c r="P210" s="0" t="str">
        <f aca="false">IF(AND(H210="Green",OR(O210="Amber",O210="Red")),"Watermelon","")</f>
        <v/>
      </c>
      <c r="Q210" s="0" t="str">
        <f aca="false">IF(B210="","",IF(J210="","Missing",IF(J210&gt;A210+UpdateDue,"Late","On time")))</f>
        <v/>
      </c>
      <c r="R210" s="0" t="str">
        <f aca="false">IF(OR(B210="",D210=""),"",IF(COUNTIFS($B$6:$B$400,B210,$A$6:$A$400,EOMONTH(A210,-1))=0,"",IF(D210&lt;SUMIFS($D$6:$D$400,$B$6:$B$400,B210,$A$6:$A$400,EOMONTH(A210,-1)),"Dropped","")))</f>
        <v/>
      </c>
      <c r="S210" s="41" t="str">
        <f aca="false">IF(B210="","",B210&amp;"|"&amp;(YEAR(A210)*100+MONTH(A210)))</f>
        <v/>
      </c>
    </row>
    <row r="211" customFormat="false" ht="15" hidden="false" customHeight="false" outlineLevel="0" collapsed="false">
      <c r="A211" s="37"/>
      <c r="C211" s="0" t="str">
        <f aca="false">IF(B211="","",IFERROR(INDEX(Project_Register!$B$6:$B$40,MATCH(B211,Project_Register!$A$6:$A$40,0)),"Unknown ID"))</f>
        <v/>
      </c>
      <c r="D211" s="38"/>
      <c r="E211" s="24"/>
      <c r="F211" s="24"/>
      <c r="G211" s="39"/>
      <c r="J211" s="39"/>
      <c r="K211" s="38" t="str">
        <f aca="false">IF(OR(B211="",T211="On Hold"),"",MAX(0,MIN(1,(A211-INDEX(Project_Register!$G$6:$G$40,MATCH(B211,Project_Register!$A$6:$A$40,0)))/(INDEX(Project_Register!$H$6:$H$40,MATCH(B211,Project_Register!$A$6:$A$40,0))-INDEX(Project_Register!$G$6:$G$40,MATCH(B211,Project_Register!$A$6:$A$40,0))))))</f>
        <v/>
      </c>
      <c r="L211" s="40" t="str">
        <f aca="false">IF(OR(B211="",D211="",T211="On Hold"),"",ROUND((D211-K211)*100,0))</f>
        <v/>
      </c>
      <c r="M211" s="38" t="str">
        <f aca="false">IF(OR(B211="",F211=""),"",F211/INDEX(Project_Register!$I$6:$I$40,MATCH(B211,Project_Register!$A$6:$A$40,0)))</f>
        <v/>
      </c>
      <c r="N211" s="40" t="str">
        <f aca="false">IF(OR(B211="",G211="",T211="On Hold"),"",G211-INDEX(Project_Register!$H$6:$H$40,MATCH(B211,Project_Register!$A$6:$A$40,0)))</f>
        <v/>
      </c>
      <c r="O211" s="0" t="str">
        <f aca="false">IF(B211="","",IF(D211="","No update",IF(AND(T211&lt;&gt;"Active",D211&lt;1),T211,IF(D211&gt;=1,"Complete",IF(OR(L211&lt;=SV_Red,M211&gt;Cost_Red,N211&gt;Slip_Red),"Red",IF(OR(L211&lt;=SV_Amber,M211&gt;Cost_Amber,N211&gt;Slip_Amber),"Amber","Green"))))))</f>
        <v/>
      </c>
      <c r="P211" s="0" t="str">
        <f aca="false">IF(AND(H211="Green",OR(O211="Amber",O211="Red")),"Watermelon","")</f>
        <v/>
      </c>
      <c r="Q211" s="0" t="str">
        <f aca="false">IF(B211="","",IF(J211="","Missing",IF(J211&gt;A211+UpdateDue,"Late","On time")))</f>
        <v/>
      </c>
      <c r="R211" s="0" t="str">
        <f aca="false">IF(OR(B211="",D211=""),"",IF(COUNTIFS($B$6:$B$400,B211,$A$6:$A$400,EOMONTH(A211,-1))=0,"",IF(D211&lt;SUMIFS($D$6:$D$400,$B$6:$B$400,B211,$A$6:$A$400,EOMONTH(A211,-1)),"Dropped","")))</f>
        <v/>
      </c>
      <c r="S211" s="41" t="str">
        <f aca="false">IF(B211="","",B211&amp;"|"&amp;(YEAR(A211)*100+MONTH(A211)))</f>
        <v/>
      </c>
    </row>
    <row r="212" customFormat="false" ht="15" hidden="false" customHeight="false" outlineLevel="0" collapsed="false">
      <c r="A212" s="37"/>
      <c r="C212" s="0" t="str">
        <f aca="false">IF(B212="","",IFERROR(INDEX(Project_Register!$B$6:$B$40,MATCH(B212,Project_Register!$A$6:$A$40,0)),"Unknown ID"))</f>
        <v/>
      </c>
      <c r="D212" s="38"/>
      <c r="E212" s="24"/>
      <c r="F212" s="24"/>
      <c r="G212" s="39"/>
      <c r="J212" s="39"/>
      <c r="K212" s="38" t="str">
        <f aca="false">IF(OR(B212="",T212="On Hold"),"",MAX(0,MIN(1,(A212-INDEX(Project_Register!$G$6:$G$40,MATCH(B212,Project_Register!$A$6:$A$40,0)))/(INDEX(Project_Register!$H$6:$H$40,MATCH(B212,Project_Register!$A$6:$A$40,0))-INDEX(Project_Register!$G$6:$G$40,MATCH(B212,Project_Register!$A$6:$A$40,0))))))</f>
        <v/>
      </c>
      <c r="L212" s="40" t="str">
        <f aca="false">IF(OR(B212="",D212="",T212="On Hold"),"",ROUND((D212-K212)*100,0))</f>
        <v/>
      </c>
      <c r="M212" s="38" t="str">
        <f aca="false">IF(OR(B212="",F212=""),"",F212/INDEX(Project_Register!$I$6:$I$40,MATCH(B212,Project_Register!$A$6:$A$40,0)))</f>
        <v/>
      </c>
      <c r="N212" s="40" t="str">
        <f aca="false">IF(OR(B212="",G212="",T212="On Hold"),"",G212-INDEX(Project_Register!$H$6:$H$40,MATCH(B212,Project_Register!$A$6:$A$40,0)))</f>
        <v/>
      </c>
      <c r="O212" s="0" t="str">
        <f aca="false">IF(B212="","",IF(D212="","No update",IF(AND(T212&lt;&gt;"Active",D212&lt;1),T212,IF(D212&gt;=1,"Complete",IF(OR(L212&lt;=SV_Red,M212&gt;Cost_Red,N212&gt;Slip_Red),"Red",IF(OR(L212&lt;=SV_Amber,M212&gt;Cost_Amber,N212&gt;Slip_Amber),"Amber","Green"))))))</f>
        <v/>
      </c>
      <c r="P212" s="0" t="str">
        <f aca="false">IF(AND(H212="Green",OR(O212="Amber",O212="Red")),"Watermelon","")</f>
        <v/>
      </c>
      <c r="Q212" s="0" t="str">
        <f aca="false">IF(B212="","",IF(J212="","Missing",IF(J212&gt;A212+UpdateDue,"Late","On time")))</f>
        <v/>
      </c>
      <c r="R212" s="0" t="str">
        <f aca="false">IF(OR(B212="",D212=""),"",IF(COUNTIFS($B$6:$B$400,B212,$A$6:$A$400,EOMONTH(A212,-1))=0,"",IF(D212&lt;SUMIFS($D$6:$D$400,$B$6:$B$400,B212,$A$6:$A$400,EOMONTH(A212,-1)),"Dropped","")))</f>
        <v/>
      </c>
      <c r="S212" s="41" t="str">
        <f aca="false">IF(B212="","",B212&amp;"|"&amp;(YEAR(A212)*100+MONTH(A212)))</f>
        <v/>
      </c>
    </row>
    <row r="213" customFormat="false" ht="15" hidden="false" customHeight="false" outlineLevel="0" collapsed="false">
      <c r="A213" s="37"/>
      <c r="C213" s="0" t="str">
        <f aca="false">IF(B213="","",IFERROR(INDEX(Project_Register!$B$6:$B$40,MATCH(B213,Project_Register!$A$6:$A$40,0)),"Unknown ID"))</f>
        <v/>
      </c>
      <c r="D213" s="38"/>
      <c r="E213" s="24"/>
      <c r="F213" s="24"/>
      <c r="G213" s="39"/>
      <c r="J213" s="39"/>
      <c r="K213" s="38" t="str">
        <f aca="false">IF(OR(B213="",T213="On Hold"),"",MAX(0,MIN(1,(A213-INDEX(Project_Register!$G$6:$G$40,MATCH(B213,Project_Register!$A$6:$A$40,0)))/(INDEX(Project_Register!$H$6:$H$40,MATCH(B213,Project_Register!$A$6:$A$40,0))-INDEX(Project_Register!$G$6:$G$40,MATCH(B213,Project_Register!$A$6:$A$40,0))))))</f>
        <v/>
      </c>
      <c r="L213" s="40" t="str">
        <f aca="false">IF(OR(B213="",D213="",T213="On Hold"),"",ROUND((D213-K213)*100,0))</f>
        <v/>
      </c>
      <c r="M213" s="38" t="str">
        <f aca="false">IF(OR(B213="",F213=""),"",F213/INDEX(Project_Register!$I$6:$I$40,MATCH(B213,Project_Register!$A$6:$A$40,0)))</f>
        <v/>
      </c>
      <c r="N213" s="40" t="str">
        <f aca="false">IF(OR(B213="",G213="",T213="On Hold"),"",G213-INDEX(Project_Register!$H$6:$H$40,MATCH(B213,Project_Register!$A$6:$A$40,0)))</f>
        <v/>
      </c>
      <c r="O213" s="0" t="str">
        <f aca="false">IF(B213="","",IF(D213="","No update",IF(AND(T213&lt;&gt;"Active",D213&lt;1),T213,IF(D213&gt;=1,"Complete",IF(OR(L213&lt;=SV_Red,M213&gt;Cost_Red,N213&gt;Slip_Red),"Red",IF(OR(L213&lt;=SV_Amber,M213&gt;Cost_Amber,N213&gt;Slip_Amber),"Amber","Green"))))))</f>
        <v/>
      </c>
      <c r="P213" s="0" t="str">
        <f aca="false">IF(AND(H213="Green",OR(O213="Amber",O213="Red")),"Watermelon","")</f>
        <v/>
      </c>
      <c r="Q213" s="0" t="str">
        <f aca="false">IF(B213="","",IF(J213="","Missing",IF(J213&gt;A213+UpdateDue,"Late","On time")))</f>
        <v/>
      </c>
      <c r="R213" s="0" t="str">
        <f aca="false">IF(OR(B213="",D213=""),"",IF(COUNTIFS($B$6:$B$400,B213,$A$6:$A$400,EOMONTH(A213,-1))=0,"",IF(D213&lt;SUMIFS($D$6:$D$400,$B$6:$B$400,B213,$A$6:$A$400,EOMONTH(A213,-1)),"Dropped","")))</f>
        <v/>
      </c>
      <c r="S213" s="41" t="str">
        <f aca="false">IF(B213="","",B213&amp;"|"&amp;(YEAR(A213)*100+MONTH(A213)))</f>
        <v/>
      </c>
    </row>
    <row r="214" customFormat="false" ht="15" hidden="false" customHeight="false" outlineLevel="0" collapsed="false">
      <c r="A214" s="37"/>
      <c r="C214" s="0" t="str">
        <f aca="false">IF(B214="","",IFERROR(INDEX(Project_Register!$B$6:$B$40,MATCH(B214,Project_Register!$A$6:$A$40,0)),"Unknown ID"))</f>
        <v/>
      </c>
      <c r="D214" s="38"/>
      <c r="E214" s="24"/>
      <c r="F214" s="24"/>
      <c r="G214" s="39"/>
      <c r="J214" s="39"/>
      <c r="K214" s="38" t="str">
        <f aca="false">IF(OR(B214="",T214="On Hold"),"",MAX(0,MIN(1,(A214-INDEX(Project_Register!$G$6:$G$40,MATCH(B214,Project_Register!$A$6:$A$40,0)))/(INDEX(Project_Register!$H$6:$H$40,MATCH(B214,Project_Register!$A$6:$A$40,0))-INDEX(Project_Register!$G$6:$G$40,MATCH(B214,Project_Register!$A$6:$A$40,0))))))</f>
        <v/>
      </c>
      <c r="L214" s="40" t="str">
        <f aca="false">IF(OR(B214="",D214="",T214="On Hold"),"",ROUND((D214-K214)*100,0))</f>
        <v/>
      </c>
      <c r="M214" s="38" t="str">
        <f aca="false">IF(OR(B214="",F214=""),"",F214/INDEX(Project_Register!$I$6:$I$40,MATCH(B214,Project_Register!$A$6:$A$40,0)))</f>
        <v/>
      </c>
      <c r="N214" s="40" t="str">
        <f aca="false">IF(OR(B214="",G214="",T214="On Hold"),"",G214-INDEX(Project_Register!$H$6:$H$40,MATCH(B214,Project_Register!$A$6:$A$40,0)))</f>
        <v/>
      </c>
      <c r="O214" s="0" t="str">
        <f aca="false">IF(B214="","",IF(D214="","No update",IF(AND(T214&lt;&gt;"Active",D214&lt;1),T214,IF(D214&gt;=1,"Complete",IF(OR(L214&lt;=SV_Red,M214&gt;Cost_Red,N214&gt;Slip_Red),"Red",IF(OR(L214&lt;=SV_Amber,M214&gt;Cost_Amber,N214&gt;Slip_Amber),"Amber","Green"))))))</f>
        <v/>
      </c>
      <c r="P214" s="0" t="str">
        <f aca="false">IF(AND(H214="Green",OR(O214="Amber",O214="Red")),"Watermelon","")</f>
        <v/>
      </c>
      <c r="Q214" s="0" t="str">
        <f aca="false">IF(B214="","",IF(J214="","Missing",IF(J214&gt;A214+UpdateDue,"Late","On time")))</f>
        <v/>
      </c>
      <c r="R214" s="0" t="str">
        <f aca="false">IF(OR(B214="",D214=""),"",IF(COUNTIFS($B$6:$B$400,B214,$A$6:$A$400,EOMONTH(A214,-1))=0,"",IF(D214&lt;SUMIFS($D$6:$D$400,$B$6:$B$400,B214,$A$6:$A$400,EOMONTH(A214,-1)),"Dropped","")))</f>
        <v/>
      </c>
      <c r="S214" s="41" t="str">
        <f aca="false">IF(B214="","",B214&amp;"|"&amp;(YEAR(A214)*100+MONTH(A214)))</f>
        <v/>
      </c>
    </row>
    <row r="215" customFormat="false" ht="15" hidden="false" customHeight="false" outlineLevel="0" collapsed="false">
      <c r="A215" s="37"/>
      <c r="C215" s="0" t="str">
        <f aca="false">IF(B215="","",IFERROR(INDEX(Project_Register!$B$6:$B$40,MATCH(B215,Project_Register!$A$6:$A$40,0)),"Unknown ID"))</f>
        <v/>
      </c>
      <c r="D215" s="38"/>
      <c r="E215" s="24"/>
      <c r="F215" s="24"/>
      <c r="G215" s="39"/>
      <c r="J215" s="39"/>
      <c r="K215" s="38" t="str">
        <f aca="false">IF(OR(B215="",T215="On Hold"),"",MAX(0,MIN(1,(A215-INDEX(Project_Register!$G$6:$G$40,MATCH(B215,Project_Register!$A$6:$A$40,0)))/(INDEX(Project_Register!$H$6:$H$40,MATCH(B215,Project_Register!$A$6:$A$40,0))-INDEX(Project_Register!$G$6:$G$40,MATCH(B215,Project_Register!$A$6:$A$40,0))))))</f>
        <v/>
      </c>
      <c r="L215" s="40" t="str">
        <f aca="false">IF(OR(B215="",D215="",T215="On Hold"),"",ROUND((D215-K215)*100,0))</f>
        <v/>
      </c>
      <c r="M215" s="38" t="str">
        <f aca="false">IF(OR(B215="",F215=""),"",F215/INDEX(Project_Register!$I$6:$I$40,MATCH(B215,Project_Register!$A$6:$A$40,0)))</f>
        <v/>
      </c>
      <c r="N215" s="40" t="str">
        <f aca="false">IF(OR(B215="",G215="",T215="On Hold"),"",G215-INDEX(Project_Register!$H$6:$H$40,MATCH(B215,Project_Register!$A$6:$A$40,0)))</f>
        <v/>
      </c>
      <c r="O215" s="0" t="str">
        <f aca="false">IF(B215="","",IF(D215="","No update",IF(AND(T215&lt;&gt;"Active",D215&lt;1),T215,IF(D215&gt;=1,"Complete",IF(OR(L215&lt;=SV_Red,M215&gt;Cost_Red,N215&gt;Slip_Red),"Red",IF(OR(L215&lt;=SV_Amber,M215&gt;Cost_Amber,N215&gt;Slip_Amber),"Amber","Green"))))))</f>
        <v/>
      </c>
      <c r="P215" s="0" t="str">
        <f aca="false">IF(AND(H215="Green",OR(O215="Amber",O215="Red")),"Watermelon","")</f>
        <v/>
      </c>
      <c r="Q215" s="0" t="str">
        <f aca="false">IF(B215="","",IF(J215="","Missing",IF(J215&gt;A215+UpdateDue,"Late","On time")))</f>
        <v/>
      </c>
      <c r="R215" s="0" t="str">
        <f aca="false">IF(OR(B215="",D215=""),"",IF(COUNTIFS($B$6:$B$400,B215,$A$6:$A$400,EOMONTH(A215,-1))=0,"",IF(D215&lt;SUMIFS($D$6:$D$400,$B$6:$B$400,B215,$A$6:$A$400,EOMONTH(A215,-1)),"Dropped","")))</f>
        <v/>
      </c>
      <c r="S215" s="41" t="str">
        <f aca="false">IF(B215="","",B215&amp;"|"&amp;(YEAR(A215)*100+MONTH(A215)))</f>
        <v/>
      </c>
    </row>
    <row r="216" customFormat="false" ht="15" hidden="false" customHeight="false" outlineLevel="0" collapsed="false">
      <c r="A216" s="37"/>
      <c r="C216" s="0" t="str">
        <f aca="false">IF(B216="","",IFERROR(INDEX(Project_Register!$B$6:$B$40,MATCH(B216,Project_Register!$A$6:$A$40,0)),"Unknown ID"))</f>
        <v/>
      </c>
      <c r="D216" s="38"/>
      <c r="E216" s="24"/>
      <c r="F216" s="24"/>
      <c r="G216" s="39"/>
      <c r="J216" s="39"/>
      <c r="K216" s="38" t="str">
        <f aca="false">IF(OR(B216="",T216="On Hold"),"",MAX(0,MIN(1,(A216-INDEX(Project_Register!$G$6:$G$40,MATCH(B216,Project_Register!$A$6:$A$40,0)))/(INDEX(Project_Register!$H$6:$H$40,MATCH(B216,Project_Register!$A$6:$A$40,0))-INDEX(Project_Register!$G$6:$G$40,MATCH(B216,Project_Register!$A$6:$A$40,0))))))</f>
        <v/>
      </c>
      <c r="L216" s="40" t="str">
        <f aca="false">IF(OR(B216="",D216="",T216="On Hold"),"",ROUND((D216-K216)*100,0))</f>
        <v/>
      </c>
      <c r="M216" s="38" t="str">
        <f aca="false">IF(OR(B216="",F216=""),"",F216/INDEX(Project_Register!$I$6:$I$40,MATCH(B216,Project_Register!$A$6:$A$40,0)))</f>
        <v/>
      </c>
      <c r="N216" s="40" t="str">
        <f aca="false">IF(OR(B216="",G216="",T216="On Hold"),"",G216-INDEX(Project_Register!$H$6:$H$40,MATCH(B216,Project_Register!$A$6:$A$40,0)))</f>
        <v/>
      </c>
      <c r="O216" s="0" t="str">
        <f aca="false">IF(B216="","",IF(D216="","No update",IF(AND(T216&lt;&gt;"Active",D216&lt;1),T216,IF(D216&gt;=1,"Complete",IF(OR(L216&lt;=SV_Red,M216&gt;Cost_Red,N216&gt;Slip_Red),"Red",IF(OR(L216&lt;=SV_Amber,M216&gt;Cost_Amber,N216&gt;Slip_Amber),"Amber","Green"))))))</f>
        <v/>
      </c>
      <c r="P216" s="0" t="str">
        <f aca="false">IF(AND(H216="Green",OR(O216="Amber",O216="Red")),"Watermelon","")</f>
        <v/>
      </c>
      <c r="Q216" s="0" t="str">
        <f aca="false">IF(B216="","",IF(J216="","Missing",IF(J216&gt;A216+UpdateDue,"Late","On time")))</f>
        <v/>
      </c>
      <c r="R216" s="0" t="str">
        <f aca="false">IF(OR(B216="",D216=""),"",IF(COUNTIFS($B$6:$B$400,B216,$A$6:$A$400,EOMONTH(A216,-1))=0,"",IF(D216&lt;SUMIFS($D$6:$D$400,$B$6:$B$400,B216,$A$6:$A$400,EOMONTH(A216,-1)),"Dropped","")))</f>
        <v/>
      </c>
      <c r="S216" s="41" t="str">
        <f aca="false">IF(B216="","",B216&amp;"|"&amp;(YEAR(A216)*100+MONTH(A216)))</f>
        <v/>
      </c>
    </row>
    <row r="217" customFormat="false" ht="15" hidden="false" customHeight="false" outlineLevel="0" collapsed="false">
      <c r="A217" s="37"/>
      <c r="C217" s="0" t="str">
        <f aca="false">IF(B217="","",IFERROR(INDEX(Project_Register!$B$6:$B$40,MATCH(B217,Project_Register!$A$6:$A$40,0)),"Unknown ID"))</f>
        <v/>
      </c>
      <c r="D217" s="38"/>
      <c r="E217" s="24"/>
      <c r="F217" s="24"/>
      <c r="G217" s="39"/>
      <c r="J217" s="39"/>
      <c r="K217" s="38" t="str">
        <f aca="false">IF(OR(B217="",T217="On Hold"),"",MAX(0,MIN(1,(A217-INDEX(Project_Register!$G$6:$G$40,MATCH(B217,Project_Register!$A$6:$A$40,0)))/(INDEX(Project_Register!$H$6:$H$40,MATCH(B217,Project_Register!$A$6:$A$40,0))-INDEX(Project_Register!$G$6:$G$40,MATCH(B217,Project_Register!$A$6:$A$40,0))))))</f>
        <v/>
      </c>
      <c r="L217" s="40" t="str">
        <f aca="false">IF(OR(B217="",D217="",T217="On Hold"),"",ROUND((D217-K217)*100,0))</f>
        <v/>
      </c>
      <c r="M217" s="38" t="str">
        <f aca="false">IF(OR(B217="",F217=""),"",F217/INDEX(Project_Register!$I$6:$I$40,MATCH(B217,Project_Register!$A$6:$A$40,0)))</f>
        <v/>
      </c>
      <c r="N217" s="40" t="str">
        <f aca="false">IF(OR(B217="",G217="",T217="On Hold"),"",G217-INDEX(Project_Register!$H$6:$H$40,MATCH(B217,Project_Register!$A$6:$A$40,0)))</f>
        <v/>
      </c>
      <c r="O217" s="0" t="str">
        <f aca="false">IF(B217="","",IF(D217="","No update",IF(AND(T217&lt;&gt;"Active",D217&lt;1),T217,IF(D217&gt;=1,"Complete",IF(OR(L217&lt;=SV_Red,M217&gt;Cost_Red,N217&gt;Slip_Red),"Red",IF(OR(L217&lt;=SV_Amber,M217&gt;Cost_Amber,N217&gt;Slip_Amber),"Amber","Green"))))))</f>
        <v/>
      </c>
      <c r="P217" s="0" t="str">
        <f aca="false">IF(AND(H217="Green",OR(O217="Amber",O217="Red")),"Watermelon","")</f>
        <v/>
      </c>
      <c r="Q217" s="0" t="str">
        <f aca="false">IF(B217="","",IF(J217="","Missing",IF(J217&gt;A217+UpdateDue,"Late","On time")))</f>
        <v/>
      </c>
      <c r="R217" s="0" t="str">
        <f aca="false">IF(OR(B217="",D217=""),"",IF(COUNTIFS($B$6:$B$400,B217,$A$6:$A$400,EOMONTH(A217,-1))=0,"",IF(D217&lt;SUMIFS($D$6:$D$400,$B$6:$B$400,B217,$A$6:$A$400,EOMONTH(A217,-1)),"Dropped","")))</f>
        <v/>
      </c>
      <c r="S217" s="41" t="str">
        <f aca="false">IF(B217="","",B217&amp;"|"&amp;(YEAR(A217)*100+MONTH(A217)))</f>
        <v/>
      </c>
    </row>
    <row r="218" customFormat="false" ht="15" hidden="false" customHeight="false" outlineLevel="0" collapsed="false">
      <c r="A218" s="37"/>
      <c r="C218" s="0" t="str">
        <f aca="false">IF(B218="","",IFERROR(INDEX(Project_Register!$B$6:$B$40,MATCH(B218,Project_Register!$A$6:$A$40,0)),"Unknown ID"))</f>
        <v/>
      </c>
      <c r="D218" s="38"/>
      <c r="E218" s="24"/>
      <c r="F218" s="24"/>
      <c r="G218" s="39"/>
      <c r="J218" s="39"/>
      <c r="K218" s="38" t="str">
        <f aca="false">IF(OR(B218="",T218="On Hold"),"",MAX(0,MIN(1,(A218-INDEX(Project_Register!$G$6:$G$40,MATCH(B218,Project_Register!$A$6:$A$40,0)))/(INDEX(Project_Register!$H$6:$H$40,MATCH(B218,Project_Register!$A$6:$A$40,0))-INDEX(Project_Register!$G$6:$G$40,MATCH(B218,Project_Register!$A$6:$A$40,0))))))</f>
        <v/>
      </c>
      <c r="L218" s="40" t="str">
        <f aca="false">IF(OR(B218="",D218="",T218="On Hold"),"",ROUND((D218-K218)*100,0))</f>
        <v/>
      </c>
      <c r="M218" s="38" t="str">
        <f aca="false">IF(OR(B218="",F218=""),"",F218/INDEX(Project_Register!$I$6:$I$40,MATCH(B218,Project_Register!$A$6:$A$40,0)))</f>
        <v/>
      </c>
      <c r="N218" s="40" t="str">
        <f aca="false">IF(OR(B218="",G218="",T218="On Hold"),"",G218-INDEX(Project_Register!$H$6:$H$40,MATCH(B218,Project_Register!$A$6:$A$40,0)))</f>
        <v/>
      </c>
      <c r="O218" s="0" t="str">
        <f aca="false">IF(B218="","",IF(D218="","No update",IF(AND(T218&lt;&gt;"Active",D218&lt;1),T218,IF(D218&gt;=1,"Complete",IF(OR(L218&lt;=SV_Red,M218&gt;Cost_Red,N218&gt;Slip_Red),"Red",IF(OR(L218&lt;=SV_Amber,M218&gt;Cost_Amber,N218&gt;Slip_Amber),"Amber","Green"))))))</f>
        <v/>
      </c>
      <c r="P218" s="0" t="str">
        <f aca="false">IF(AND(H218="Green",OR(O218="Amber",O218="Red")),"Watermelon","")</f>
        <v/>
      </c>
      <c r="Q218" s="0" t="str">
        <f aca="false">IF(B218="","",IF(J218="","Missing",IF(J218&gt;A218+UpdateDue,"Late","On time")))</f>
        <v/>
      </c>
      <c r="R218" s="0" t="str">
        <f aca="false">IF(OR(B218="",D218=""),"",IF(COUNTIFS($B$6:$B$400,B218,$A$6:$A$400,EOMONTH(A218,-1))=0,"",IF(D218&lt;SUMIFS($D$6:$D$400,$B$6:$B$400,B218,$A$6:$A$400,EOMONTH(A218,-1)),"Dropped","")))</f>
        <v/>
      </c>
      <c r="S218" s="41" t="str">
        <f aca="false">IF(B218="","",B218&amp;"|"&amp;(YEAR(A218)*100+MONTH(A218)))</f>
        <v/>
      </c>
    </row>
    <row r="219" customFormat="false" ht="15" hidden="false" customHeight="false" outlineLevel="0" collapsed="false">
      <c r="A219" s="37"/>
      <c r="C219" s="0" t="str">
        <f aca="false">IF(B219="","",IFERROR(INDEX(Project_Register!$B$6:$B$40,MATCH(B219,Project_Register!$A$6:$A$40,0)),"Unknown ID"))</f>
        <v/>
      </c>
      <c r="D219" s="38"/>
      <c r="E219" s="24"/>
      <c r="F219" s="24"/>
      <c r="G219" s="39"/>
      <c r="J219" s="39"/>
      <c r="K219" s="38" t="str">
        <f aca="false">IF(OR(B219="",T219="On Hold"),"",MAX(0,MIN(1,(A219-INDEX(Project_Register!$G$6:$G$40,MATCH(B219,Project_Register!$A$6:$A$40,0)))/(INDEX(Project_Register!$H$6:$H$40,MATCH(B219,Project_Register!$A$6:$A$40,0))-INDEX(Project_Register!$G$6:$G$40,MATCH(B219,Project_Register!$A$6:$A$40,0))))))</f>
        <v/>
      </c>
      <c r="L219" s="40" t="str">
        <f aca="false">IF(OR(B219="",D219="",T219="On Hold"),"",ROUND((D219-K219)*100,0))</f>
        <v/>
      </c>
      <c r="M219" s="38" t="str">
        <f aca="false">IF(OR(B219="",F219=""),"",F219/INDEX(Project_Register!$I$6:$I$40,MATCH(B219,Project_Register!$A$6:$A$40,0)))</f>
        <v/>
      </c>
      <c r="N219" s="40" t="str">
        <f aca="false">IF(OR(B219="",G219="",T219="On Hold"),"",G219-INDEX(Project_Register!$H$6:$H$40,MATCH(B219,Project_Register!$A$6:$A$40,0)))</f>
        <v/>
      </c>
      <c r="O219" s="0" t="str">
        <f aca="false">IF(B219="","",IF(D219="","No update",IF(AND(T219&lt;&gt;"Active",D219&lt;1),T219,IF(D219&gt;=1,"Complete",IF(OR(L219&lt;=SV_Red,M219&gt;Cost_Red,N219&gt;Slip_Red),"Red",IF(OR(L219&lt;=SV_Amber,M219&gt;Cost_Amber,N219&gt;Slip_Amber),"Amber","Green"))))))</f>
        <v/>
      </c>
      <c r="P219" s="0" t="str">
        <f aca="false">IF(AND(H219="Green",OR(O219="Amber",O219="Red")),"Watermelon","")</f>
        <v/>
      </c>
      <c r="Q219" s="0" t="str">
        <f aca="false">IF(B219="","",IF(J219="","Missing",IF(J219&gt;A219+UpdateDue,"Late","On time")))</f>
        <v/>
      </c>
      <c r="R219" s="0" t="str">
        <f aca="false">IF(OR(B219="",D219=""),"",IF(COUNTIFS($B$6:$B$400,B219,$A$6:$A$400,EOMONTH(A219,-1))=0,"",IF(D219&lt;SUMIFS($D$6:$D$400,$B$6:$B$400,B219,$A$6:$A$400,EOMONTH(A219,-1)),"Dropped","")))</f>
        <v/>
      </c>
      <c r="S219" s="41" t="str">
        <f aca="false">IF(B219="","",B219&amp;"|"&amp;(YEAR(A219)*100+MONTH(A219)))</f>
        <v/>
      </c>
    </row>
    <row r="220" customFormat="false" ht="15" hidden="false" customHeight="false" outlineLevel="0" collapsed="false">
      <c r="A220" s="37"/>
      <c r="C220" s="0" t="str">
        <f aca="false">IF(B220="","",IFERROR(INDEX(Project_Register!$B$6:$B$40,MATCH(B220,Project_Register!$A$6:$A$40,0)),"Unknown ID"))</f>
        <v/>
      </c>
      <c r="D220" s="38"/>
      <c r="E220" s="24"/>
      <c r="F220" s="24"/>
      <c r="G220" s="39"/>
      <c r="J220" s="39"/>
      <c r="K220" s="38" t="str">
        <f aca="false">IF(OR(B220="",T220="On Hold"),"",MAX(0,MIN(1,(A220-INDEX(Project_Register!$G$6:$G$40,MATCH(B220,Project_Register!$A$6:$A$40,0)))/(INDEX(Project_Register!$H$6:$H$40,MATCH(B220,Project_Register!$A$6:$A$40,0))-INDEX(Project_Register!$G$6:$G$40,MATCH(B220,Project_Register!$A$6:$A$40,0))))))</f>
        <v/>
      </c>
      <c r="L220" s="40" t="str">
        <f aca="false">IF(OR(B220="",D220="",T220="On Hold"),"",ROUND((D220-K220)*100,0))</f>
        <v/>
      </c>
      <c r="M220" s="38" t="str">
        <f aca="false">IF(OR(B220="",F220=""),"",F220/INDEX(Project_Register!$I$6:$I$40,MATCH(B220,Project_Register!$A$6:$A$40,0)))</f>
        <v/>
      </c>
      <c r="N220" s="40" t="str">
        <f aca="false">IF(OR(B220="",G220="",T220="On Hold"),"",G220-INDEX(Project_Register!$H$6:$H$40,MATCH(B220,Project_Register!$A$6:$A$40,0)))</f>
        <v/>
      </c>
      <c r="O220" s="0" t="str">
        <f aca="false">IF(B220="","",IF(D220="","No update",IF(AND(T220&lt;&gt;"Active",D220&lt;1),T220,IF(D220&gt;=1,"Complete",IF(OR(L220&lt;=SV_Red,M220&gt;Cost_Red,N220&gt;Slip_Red),"Red",IF(OR(L220&lt;=SV_Amber,M220&gt;Cost_Amber,N220&gt;Slip_Amber),"Amber","Green"))))))</f>
        <v/>
      </c>
      <c r="P220" s="0" t="str">
        <f aca="false">IF(AND(H220="Green",OR(O220="Amber",O220="Red")),"Watermelon","")</f>
        <v/>
      </c>
      <c r="Q220" s="0" t="str">
        <f aca="false">IF(B220="","",IF(J220="","Missing",IF(J220&gt;A220+UpdateDue,"Late","On time")))</f>
        <v/>
      </c>
      <c r="R220" s="0" t="str">
        <f aca="false">IF(OR(B220="",D220=""),"",IF(COUNTIFS($B$6:$B$400,B220,$A$6:$A$400,EOMONTH(A220,-1))=0,"",IF(D220&lt;SUMIFS($D$6:$D$400,$B$6:$B$400,B220,$A$6:$A$400,EOMONTH(A220,-1)),"Dropped","")))</f>
        <v/>
      </c>
      <c r="S220" s="41" t="str">
        <f aca="false">IF(B220="","",B220&amp;"|"&amp;(YEAR(A220)*100+MONTH(A220)))</f>
        <v/>
      </c>
    </row>
    <row r="221" customFormat="false" ht="15" hidden="false" customHeight="false" outlineLevel="0" collapsed="false">
      <c r="A221" s="37"/>
      <c r="C221" s="0" t="str">
        <f aca="false">IF(B221="","",IFERROR(INDEX(Project_Register!$B$6:$B$40,MATCH(B221,Project_Register!$A$6:$A$40,0)),"Unknown ID"))</f>
        <v/>
      </c>
      <c r="D221" s="38"/>
      <c r="E221" s="24"/>
      <c r="F221" s="24"/>
      <c r="G221" s="39"/>
      <c r="J221" s="39"/>
      <c r="K221" s="38" t="str">
        <f aca="false">IF(OR(B221="",T221="On Hold"),"",MAX(0,MIN(1,(A221-INDEX(Project_Register!$G$6:$G$40,MATCH(B221,Project_Register!$A$6:$A$40,0)))/(INDEX(Project_Register!$H$6:$H$40,MATCH(B221,Project_Register!$A$6:$A$40,0))-INDEX(Project_Register!$G$6:$G$40,MATCH(B221,Project_Register!$A$6:$A$40,0))))))</f>
        <v/>
      </c>
      <c r="L221" s="40" t="str">
        <f aca="false">IF(OR(B221="",D221="",T221="On Hold"),"",ROUND((D221-K221)*100,0))</f>
        <v/>
      </c>
      <c r="M221" s="38" t="str">
        <f aca="false">IF(OR(B221="",F221=""),"",F221/INDEX(Project_Register!$I$6:$I$40,MATCH(B221,Project_Register!$A$6:$A$40,0)))</f>
        <v/>
      </c>
      <c r="N221" s="40" t="str">
        <f aca="false">IF(OR(B221="",G221="",T221="On Hold"),"",G221-INDEX(Project_Register!$H$6:$H$40,MATCH(B221,Project_Register!$A$6:$A$40,0)))</f>
        <v/>
      </c>
      <c r="O221" s="0" t="str">
        <f aca="false">IF(B221="","",IF(D221="","No update",IF(AND(T221&lt;&gt;"Active",D221&lt;1),T221,IF(D221&gt;=1,"Complete",IF(OR(L221&lt;=SV_Red,M221&gt;Cost_Red,N221&gt;Slip_Red),"Red",IF(OR(L221&lt;=SV_Amber,M221&gt;Cost_Amber,N221&gt;Slip_Amber),"Amber","Green"))))))</f>
        <v/>
      </c>
      <c r="P221" s="0" t="str">
        <f aca="false">IF(AND(H221="Green",OR(O221="Amber",O221="Red")),"Watermelon","")</f>
        <v/>
      </c>
      <c r="Q221" s="0" t="str">
        <f aca="false">IF(B221="","",IF(J221="","Missing",IF(J221&gt;A221+UpdateDue,"Late","On time")))</f>
        <v/>
      </c>
      <c r="R221" s="0" t="str">
        <f aca="false">IF(OR(B221="",D221=""),"",IF(COUNTIFS($B$6:$B$400,B221,$A$6:$A$400,EOMONTH(A221,-1))=0,"",IF(D221&lt;SUMIFS($D$6:$D$400,$B$6:$B$400,B221,$A$6:$A$400,EOMONTH(A221,-1)),"Dropped","")))</f>
        <v/>
      </c>
      <c r="S221" s="41" t="str">
        <f aca="false">IF(B221="","",B221&amp;"|"&amp;(YEAR(A221)*100+MONTH(A221)))</f>
        <v/>
      </c>
    </row>
    <row r="222" customFormat="false" ht="15" hidden="false" customHeight="false" outlineLevel="0" collapsed="false">
      <c r="A222" s="37"/>
      <c r="C222" s="0" t="str">
        <f aca="false">IF(B222="","",IFERROR(INDEX(Project_Register!$B$6:$B$40,MATCH(B222,Project_Register!$A$6:$A$40,0)),"Unknown ID"))</f>
        <v/>
      </c>
      <c r="D222" s="38"/>
      <c r="E222" s="24"/>
      <c r="F222" s="24"/>
      <c r="G222" s="39"/>
      <c r="J222" s="39"/>
      <c r="K222" s="38" t="str">
        <f aca="false">IF(OR(B222="",T222="On Hold"),"",MAX(0,MIN(1,(A222-INDEX(Project_Register!$G$6:$G$40,MATCH(B222,Project_Register!$A$6:$A$40,0)))/(INDEX(Project_Register!$H$6:$H$40,MATCH(B222,Project_Register!$A$6:$A$40,0))-INDEX(Project_Register!$G$6:$G$40,MATCH(B222,Project_Register!$A$6:$A$40,0))))))</f>
        <v/>
      </c>
      <c r="L222" s="40" t="str">
        <f aca="false">IF(OR(B222="",D222="",T222="On Hold"),"",ROUND((D222-K222)*100,0))</f>
        <v/>
      </c>
      <c r="M222" s="38" t="str">
        <f aca="false">IF(OR(B222="",F222=""),"",F222/INDEX(Project_Register!$I$6:$I$40,MATCH(B222,Project_Register!$A$6:$A$40,0)))</f>
        <v/>
      </c>
      <c r="N222" s="40" t="str">
        <f aca="false">IF(OR(B222="",G222="",T222="On Hold"),"",G222-INDEX(Project_Register!$H$6:$H$40,MATCH(B222,Project_Register!$A$6:$A$40,0)))</f>
        <v/>
      </c>
      <c r="O222" s="0" t="str">
        <f aca="false">IF(B222="","",IF(D222="","No update",IF(AND(T222&lt;&gt;"Active",D222&lt;1),T222,IF(D222&gt;=1,"Complete",IF(OR(L222&lt;=SV_Red,M222&gt;Cost_Red,N222&gt;Slip_Red),"Red",IF(OR(L222&lt;=SV_Amber,M222&gt;Cost_Amber,N222&gt;Slip_Amber),"Amber","Green"))))))</f>
        <v/>
      </c>
      <c r="P222" s="0" t="str">
        <f aca="false">IF(AND(H222="Green",OR(O222="Amber",O222="Red")),"Watermelon","")</f>
        <v/>
      </c>
      <c r="Q222" s="0" t="str">
        <f aca="false">IF(B222="","",IF(J222="","Missing",IF(J222&gt;A222+UpdateDue,"Late","On time")))</f>
        <v/>
      </c>
      <c r="R222" s="0" t="str">
        <f aca="false">IF(OR(B222="",D222=""),"",IF(COUNTIFS($B$6:$B$400,B222,$A$6:$A$400,EOMONTH(A222,-1))=0,"",IF(D222&lt;SUMIFS($D$6:$D$400,$B$6:$B$400,B222,$A$6:$A$400,EOMONTH(A222,-1)),"Dropped","")))</f>
        <v/>
      </c>
      <c r="S222" s="41" t="str">
        <f aca="false">IF(B222="","",B222&amp;"|"&amp;(YEAR(A222)*100+MONTH(A222)))</f>
        <v/>
      </c>
    </row>
    <row r="223" customFormat="false" ht="15" hidden="false" customHeight="false" outlineLevel="0" collapsed="false">
      <c r="A223" s="37"/>
      <c r="C223" s="0" t="str">
        <f aca="false">IF(B223="","",IFERROR(INDEX(Project_Register!$B$6:$B$40,MATCH(B223,Project_Register!$A$6:$A$40,0)),"Unknown ID"))</f>
        <v/>
      </c>
      <c r="D223" s="38"/>
      <c r="E223" s="24"/>
      <c r="F223" s="24"/>
      <c r="G223" s="39"/>
      <c r="J223" s="39"/>
      <c r="K223" s="38" t="str">
        <f aca="false">IF(OR(B223="",T223="On Hold"),"",MAX(0,MIN(1,(A223-INDEX(Project_Register!$G$6:$G$40,MATCH(B223,Project_Register!$A$6:$A$40,0)))/(INDEX(Project_Register!$H$6:$H$40,MATCH(B223,Project_Register!$A$6:$A$40,0))-INDEX(Project_Register!$G$6:$G$40,MATCH(B223,Project_Register!$A$6:$A$40,0))))))</f>
        <v/>
      </c>
      <c r="L223" s="40" t="str">
        <f aca="false">IF(OR(B223="",D223="",T223="On Hold"),"",ROUND((D223-K223)*100,0))</f>
        <v/>
      </c>
      <c r="M223" s="38" t="str">
        <f aca="false">IF(OR(B223="",F223=""),"",F223/INDEX(Project_Register!$I$6:$I$40,MATCH(B223,Project_Register!$A$6:$A$40,0)))</f>
        <v/>
      </c>
      <c r="N223" s="40" t="str">
        <f aca="false">IF(OR(B223="",G223="",T223="On Hold"),"",G223-INDEX(Project_Register!$H$6:$H$40,MATCH(B223,Project_Register!$A$6:$A$40,0)))</f>
        <v/>
      </c>
      <c r="O223" s="0" t="str">
        <f aca="false">IF(B223="","",IF(D223="","No update",IF(AND(T223&lt;&gt;"Active",D223&lt;1),T223,IF(D223&gt;=1,"Complete",IF(OR(L223&lt;=SV_Red,M223&gt;Cost_Red,N223&gt;Slip_Red),"Red",IF(OR(L223&lt;=SV_Amber,M223&gt;Cost_Amber,N223&gt;Slip_Amber),"Amber","Green"))))))</f>
        <v/>
      </c>
      <c r="P223" s="0" t="str">
        <f aca="false">IF(AND(H223="Green",OR(O223="Amber",O223="Red")),"Watermelon","")</f>
        <v/>
      </c>
      <c r="Q223" s="0" t="str">
        <f aca="false">IF(B223="","",IF(J223="","Missing",IF(J223&gt;A223+UpdateDue,"Late","On time")))</f>
        <v/>
      </c>
      <c r="R223" s="0" t="str">
        <f aca="false">IF(OR(B223="",D223=""),"",IF(COUNTIFS($B$6:$B$400,B223,$A$6:$A$400,EOMONTH(A223,-1))=0,"",IF(D223&lt;SUMIFS($D$6:$D$400,$B$6:$B$400,B223,$A$6:$A$400,EOMONTH(A223,-1)),"Dropped","")))</f>
        <v/>
      </c>
      <c r="S223" s="41" t="str">
        <f aca="false">IF(B223="","",B223&amp;"|"&amp;(YEAR(A223)*100+MONTH(A223)))</f>
        <v/>
      </c>
    </row>
    <row r="224" customFormat="false" ht="15" hidden="false" customHeight="false" outlineLevel="0" collapsed="false">
      <c r="A224" s="37"/>
      <c r="C224" s="0" t="str">
        <f aca="false">IF(B224="","",IFERROR(INDEX(Project_Register!$B$6:$B$40,MATCH(B224,Project_Register!$A$6:$A$40,0)),"Unknown ID"))</f>
        <v/>
      </c>
      <c r="D224" s="38"/>
      <c r="E224" s="24"/>
      <c r="F224" s="24"/>
      <c r="G224" s="39"/>
      <c r="J224" s="39"/>
      <c r="K224" s="38" t="str">
        <f aca="false">IF(OR(B224="",T224="On Hold"),"",MAX(0,MIN(1,(A224-INDEX(Project_Register!$G$6:$G$40,MATCH(B224,Project_Register!$A$6:$A$40,0)))/(INDEX(Project_Register!$H$6:$H$40,MATCH(B224,Project_Register!$A$6:$A$40,0))-INDEX(Project_Register!$G$6:$G$40,MATCH(B224,Project_Register!$A$6:$A$40,0))))))</f>
        <v/>
      </c>
      <c r="L224" s="40" t="str">
        <f aca="false">IF(OR(B224="",D224="",T224="On Hold"),"",ROUND((D224-K224)*100,0))</f>
        <v/>
      </c>
      <c r="M224" s="38" t="str">
        <f aca="false">IF(OR(B224="",F224=""),"",F224/INDEX(Project_Register!$I$6:$I$40,MATCH(B224,Project_Register!$A$6:$A$40,0)))</f>
        <v/>
      </c>
      <c r="N224" s="40" t="str">
        <f aca="false">IF(OR(B224="",G224="",T224="On Hold"),"",G224-INDEX(Project_Register!$H$6:$H$40,MATCH(B224,Project_Register!$A$6:$A$40,0)))</f>
        <v/>
      </c>
      <c r="O224" s="0" t="str">
        <f aca="false">IF(B224="","",IF(D224="","No update",IF(AND(T224&lt;&gt;"Active",D224&lt;1),T224,IF(D224&gt;=1,"Complete",IF(OR(L224&lt;=SV_Red,M224&gt;Cost_Red,N224&gt;Slip_Red),"Red",IF(OR(L224&lt;=SV_Amber,M224&gt;Cost_Amber,N224&gt;Slip_Amber),"Amber","Green"))))))</f>
        <v/>
      </c>
      <c r="P224" s="0" t="str">
        <f aca="false">IF(AND(H224="Green",OR(O224="Amber",O224="Red")),"Watermelon","")</f>
        <v/>
      </c>
      <c r="Q224" s="0" t="str">
        <f aca="false">IF(B224="","",IF(J224="","Missing",IF(J224&gt;A224+UpdateDue,"Late","On time")))</f>
        <v/>
      </c>
      <c r="R224" s="0" t="str">
        <f aca="false">IF(OR(B224="",D224=""),"",IF(COUNTIFS($B$6:$B$400,B224,$A$6:$A$400,EOMONTH(A224,-1))=0,"",IF(D224&lt;SUMIFS($D$6:$D$400,$B$6:$B$400,B224,$A$6:$A$400,EOMONTH(A224,-1)),"Dropped","")))</f>
        <v/>
      </c>
      <c r="S224" s="41" t="str">
        <f aca="false">IF(B224="","",B224&amp;"|"&amp;(YEAR(A224)*100+MONTH(A224)))</f>
        <v/>
      </c>
    </row>
    <row r="225" customFormat="false" ht="15" hidden="false" customHeight="false" outlineLevel="0" collapsed="false">
      <c r="A225" s="37"/>
      <c r="C225" s="0" t="str">
        <f aca="false">IF(B225="","",IFERROR(INDEX(Project_Register!$B$6:$B$40,MATCH(B225,Project_Register!$A$6:$A$40,0)),"Unknown ID"))</f>
        <v/>
      </c>
      <c r="D225" s="38"/>
      <c r="E225" s="24"/>
      <c r="F225" s="24"/>
      <c r="G225" s="39"/>
      <c r="J225" s="39"/>
      <c r="K225" s="38" t="str">
        <f aca="false">IF(OR(B225="",T225="On Hold"),"",MAX(0,MIN(1,(A225-INDEX(Project_Register!$G$6:$G$40,MATCH(B225,Project_Register!$A$6:$A$40,0)))/(INDEX(Project_Register!$H$6:$H$40,MATCH(B225,Project_Register!$A$6:$A$40,0))-INDEX(Project_Register!$G$6:$G$40,MATCH(B225,Project_Register!$A$6:$A$40,0))))))</f>
        <v/>
      </c>
      <c r="L225" s="40" t="str">
        <f aca="false">IF(OR(B225="",D225="",T225="On Hold"),"",ROUND((D225-K225)*100,0))</f>
        <v/>
      </c>
      <c r="M225" s="38" t="str">
        <f aca="false">IF(OR(B225="",F225=""),"",F225/INDEX(Project_Register!$I$6:$I$40,MATCH(B225,Project_Register!$A$6:$A$40,0)))</f>
        <v/>
      </c>
      <c r="N225" s="40" t="str">
        <f aca="false">IF(OR(B225="",G225="",T225="On Hold"),"",G225-INDEX(Project_Register!$H$6:$H$40,MATCH(B225,Project_Register!$A$6:$A$40,0)))</f>
        <v/>
      </c>
      <c r="O225" s="0" t="str">
        <f aca="false">IF(B225="","",IF(D225="","No update",IF(AND(T225&lt;&gt;"Active",D225&lt;1),T225,IF(D225&gt;=1,"Complete",IF(OR(L225&lt;=SV_Red,M225&gt;Cost_Red,N225&gt;Slip_Red),"Red",IF(OR(L225&lt;=SV_Amber,M225&gt;Cost_Amber,N225&gt;Slip_Amber),"Amber","Green"))))))</f>
        <v/>
      </c>
      <c r="P225" s="0" t="str">
        <f aca="false">IF(AND(H225="Green",OR(O225="Amber",O225="Red")),"Watermelon","")</f>
        <v/>
      </c>
      <c r="Q225" s="0" t="str">
        <f aca="false">IF(B225="","",IF(J225="","Missing",IF(J225&gt;A225+UpdateDue,"Late","On time")))</f>
        <v/>
      </c>
      <c r="R225" s="0" t="str">
        <f aca="false">IF(OR(B225="",D225=""),"",IF(COUNTIFS($B$6:$B$400,B225,$A$6:$A$400,EOMONTH(A225,-1))=0,"",IF(D225&lt;SUMIFS($D$6:$D$400,$B$6:$B$400,B225,$A$6:$A$400,EOMONTH(A225,-1)),"Dropped","")))</f>
        <v/>
      </c>
      <c r="S225" s="41" t="str">
        <f aca="false">IF(B225="","",B225&amp;"|"&amp;(YEAR(A225)*100+MONTH(A225)))</f>
        <v/>
      </c>
    </row>
    <row r="226" customFormat="false" ht="15" hidden="false" customHeight="false" outlineLevel="0" collapsed="false">
      <c r="A226" s="37"/>
      <c r="C226" s="0" t="str">
        <f aca="false">IF(B226="","",IFERROR(INDEX(Project_Register!$B$6:$B$40,MATCH(B226,Project_Register!$A$6:$A$40,0)),"Unknown ID"))</f>
        <v/>
      </c>
      <c r="D226" s="38"/>
      <c r="E226" s="24"/>
      <c r="F226" s="24"/>
      <c r="G226" s="39"/>
      <c r="J226" s="39"/>
      <c r="K226" s="38" t="str">
        <f aca="false">IF(OR(B226="",T226="On Hold"),"",MAX(0,MIN(1,(A226-INDEX(Project_Register!$G$6:$G$40,MATCH(B226,Project_Register!$A$6:$A$40,0)))/(INDEX(Project_Register!$H$6:$H$40,MATCH(B226,Project_Register!$A$6:$A$40,0))-INDEX(Project_Register!$G$6:$G$40,MATCH(B226,Project_Register!$A$6:$A$40,0))))))</f>
        <v/>
      </c>
      <c r="L226" s="40" t="str">
        <f aca="false">IF(OR(B226="",D226="",T226="On Hold"),"",ROUND((D226-K226)*100,0))</f>
        <v/>
      </c>
      <c r="M226" s="38" t="str">
        <f aca="false">IF(OR(B226="",F226=""),"",F226/INDEX(Project_Register!$I$6:$I$40,MATCH(B226,Project_Register!$A$6:$A$40,0)))</f>
        <v/>
      </c>
      <c r="N226" s="40" t="str">
        <f aca="false">IF(OR(B226="",G226="",T226="On Hold"),"",G226-INDEX(Project_Register!$H$6:$H$40,MATCH(B226,Project_Register!$A$6:$A$40,0)))</f>
        <v/>
      </c>
      <c r="O226" s="0" t="str">
        <f aca="false">IF(B226="","",IF(D226="","No update",IF(AND(T226&lt;&gt;"Active",D226&lt;1),T226,IF(D226&gt;=1,"Complete",IF(OR(L226&lt;=SV_Red,M226&gt;Cost_Red,N226&gt;Slip_Red),"Red",IF(OR(L226&lt;=SV_Amber,M226&gt;Cost_Amber,N226&gt;Slip_Amber),"Amber","Green"))))))</f>
        <v/>
      </c>
      <c r="P226" s="0" t="str">
        <f aca="false">IF(AND(H226="Green",OR(O226="Amber",O226="Red")),"Watermelon","")</f>
        <v/>
      </c>
      <c r="Q226" s="0" t="str">
        <f aca="false">IF(B226="","",IF(J226="","Missing",IF(J226&gt;A226+UpdateDue,"Late","On time")))</f>
        <v/>
      </c>
      <c r="R226" s="0" t="str">
        <f aca="false">IF(OR(B226="",D226=""),"",IF(COUNTIFS($B$6:$B$400,B226,$A$6:$A$400,EOMONTH(A226,-1))=0,"",IF(D226&lt;SUMIFS($D$6:$D$400,$B$6:$B$400,B226,$A$6:$A$400,EOMONTH(A226,-1)),"Dropped","")))</f>
        <v/>
      </c>
      <c r="S226" s="41" t="str">
        <f aca="false">IF(B226="","",B226&amp;"|"&amp;(YEAR(A226)*100+MONTH(A226)))</f>
        <v/>
      </c>
    </row>
    <row r="227" customFormat="false" ht="15" hidden="false" customHeight="false" outlineLevel="0" collapsed="false">
      <c r="A227" s="37"/>
      <c r="C227" s="0" t="str">
        <f aca="false">IF(B227="","",IFERROR(INDEX(Project_Register!$B$6:$B$40,MATCH(B227,Project_Register!$A$6:$A$40,0)),"Unknown ID"))</f>
        <v/>
      </c>
      <c r="D227" s="38"/>
      <c r="E227" s="24"/>
      <c r="F227" s="24"/>
      <c r="G227" s="39"/>
      <c r="J227" s="39"/>
      <c r="K227" s="38" t="str">
        <f aca="false">IF(OR(B227="",T227="On Hold"),"",MAX(0,MIN(1,(A227-INDEX(Project_Register!$G$6:$G$40,MATCH(B227,Project_Register!$A$6:$A$40,0)))/(INDEX(Project_Register!$H$6:$H$40,MATCH(B227,Project_Register!$A$6:$A$40,0))-INDEX(Project_Register!$G$6:$G$40,MATCH(B227,Project_Register!$A$6:$A$40,0))))))</f>
        <v/>
      </c>
      <c r="L227" s="40" t="str">
        <f aca="false">IF(OR(B227="",D227="",T227="On Hold"),"",ROUND((D227-K227)*100,0))</f>
        <v/>
      </c>
      <c r="M227" s="38" t="str">
        <f aca="false">IF(OR(B227="",F227=""),"",F227/INDEX(Project_Register!$I$6:$I$40,MATCH(B227,Project_Register!$A$6:$A$40,0)))</f>
        <v/>
      </c>
      <c r="N227" s="40" t="str">
        <f aca="false">IF(OR(B227="",G227="",T227="On Hold"),"",G227-INDEX(Project_Register!$H$6:$H$40,MATCH(B227,Project_Register!$A$6:$A$40,0)))</f>
        <v/>
      </c>
      <c r="O227" s="0" t="str">
        <f aca="false">IF(B227="","",IF(D227="","No update",IF(AND(T227&lt;&gt;"Active",D227&lt;1),T227,IF(D227&gt;=1,"Complete",IF(OR(L227&lt;=SV_Red,M227&gt;Cost_Red,N227&gt;Slip_Red),"Red",IF(OR(L227&lt;=SV_Amber,M227&gt;Cost_Amber,N227&gt;Slip_Amber),"Amber","Green"))))))</f>
        <v/>
      </c>
      <c r="P227" s="0" t="str">
        <f aca="false">IF(AND(H227="Green",OR(O227="Amber",O227="Red")),"Watermelon","")</f>
        <v/>
      </c>
      <c r="Q227" s="0" t="str">
        <f aca="false">IF(B227="","",IF(J227="","Missing",IF(J227&gt;A227+UpdateDue,"Late","On time")))</f>
        <v/>
      </c>
      <c r="R227" s="0" t="str">
        <f aca="false">IF(OR(B227="",D227=""),"",IF(COUNTIFS($B$6:$B$400,B227,$A$6:$A$400,EOMONTH(A227,-1))=0,"",IF(D227&lt;SUMIFS($D$6:$D$400,$B$6:$B$400,B227,$A$6:$A$400,EOMONTH(A227,-1)),"Dropped","")))</f>
        <v/>
      </c>
      <c r="S227" s="41" t="str">
        <f aca="false">IF(B227="","",B227&amp;"|"&amp;(YEAR(A227)*100+MONTH(A227)))</f>
        <v/>
      </c>
    </row>
    <row r="228" customFormat="false" ht="15" hidden="false" customHeight="false" outlineLevel="0" collapsed="false">
      <c r="A228" s="37"/>
      <c r="C228" s="0" t="str">
        <f aca="false">IF(B228="","",IFERROR(INDEX(Project_Register!$B$6:$B$40,MATCH(B228,Project_Register!$A$6:$A$40,0)),"Unknown ID"))</f>
        <v/>
      </c>
      <c r="D228" s="38"/>
      <c r="E228" s="24"/>
      <c r="F228" s="24"/>
      <c r="G228" s="39"/>
      <c r="J228" s="39"/>
      <c r="K228" s="38" t="str">
        <f aca="false">IF(OR(B228="",T228="On Hold"),"",MAX(0,MIN(1,(A228-INDEX(Project_Register!$G$6:$G$40,MATCH(B228,Project_Register!$A$6:$A$40,0)))/(INDEX(Project_Register!$H$6:$H$40,MATCH(B228,Project_Register!$A$6:$A$40,0))-INDEX(Project_Register!$G$6:$G$40,MATCH(B228,Project_Register!$A$6:$A$40,0))))))</f>
        <v/>
      </c>
      <c r="L228" s="40" t="str">
        <f aca="false">IF(OR(B228="",D228="",T228="On Hold"),"",ROUND((D228-K228)*100,0))</f>
        <v/>
      </c>
      <c r="M228" s="38" t="str">
        <f aca="false">IF(OR(B228="",F228=""),"",F228/INDEX(Project_Register!$I$6:$I$40,MATCH(B228,Project_Register!$A$6:$A$40,0)))</f>
        <v/>
      </c>
      <c r="N228" s="40" t="str">
        <f aca="false">IF(OR(B228="",G228="",T228="On Hold"),"",G228-INDEX(Project_Register!$H$6:$H$40,MATCH(B228,Project_Register!$A$6:$A$40,0)))</f>
        <v/>
      </c>
      <c r="O228" s="0" t="str">
        <f aca="false">IF(B228="","",IF(D228="","No update",IF(AND(T228&lt;&gt;"Active",D228&lt;1),T228,IF(D228&gt;=1,"Complete",IF(OR(L228&lt;=SV_Red,M228&gt;Cost_Red,N228&gt;Slip_Red),"Red",IF(OR(L228&lt;=SV_Amber,M228&gt;Cost_Amber,N228&gt;Slip_Amber),"Amber","Green"))))))</f>
        <v/>
      </c>
      <c r="P228" s="0" t="str">
        <f aca="false">IF(AND(H228="Green",OR(O228="Amber",O228="Red")),"Watermelon","")</f>
        <v/>
      </c>
      <c r="Q228" s="0" t="str">
        <f aca="false">IF(B228="","",IF(J228="","Missing",IF(J228&gt;A228+UpdateDue,"Late","On time")))</f>
        <v/>
      </c>
      <c r="R228" s="0" t="str">
        <f aca="false">IF(OR(B228="",D228=""),"",IF(COUNTIFS($B$6:$B$400,B228,$A$6:$A$400,EOMONTH(A228,-1))=0,"",IF(D228&lt;SUMIFS($D$6:$D$400,$B$6:$B$400,B228,$A$6:$A$400,EOMONTH(A228,-1)),"Dropped","")))</f>
        <v/>
      </c>
      <c r="S228" s="41" t="str">
        <f aca="false">IF(B228="","",B228&amp;"|"&amp;(YEAR(A228)*100+MONTH(A228)))</f>
        <v/>
      </c>
    </row>
    <row r="229" customFormat="false" ht="15" hidden="false" customHeight="false" outlineLevel="0" collapsed="false">
      <c r="A229" s="37"/>
      <c r="C229" s="0" t="str">
        <f aca="false">IF(B229="","",IFERROR(INDEX(Project_Register!$B$6:$B$40,MATCH(B229,Project_Register!$A$6:$A$40,0)),"Unknown ID"))</f>
        <v/>
      </c>
      <c r="D229" s="38"/>
      <c r="E229" s="24"/>
      <c r="F229" s="24"/>
      <c r="G229" s="39"/>
      <c r="J229" s="39"/>
      <c r="K229" s="38" t="str">
        <f aca="false">IF(OR(B229="",T229="On Hold"),"",MAX(0,MIN(1,(A229-INDEX(Project_Register!$G$6:$G$40,MATCH(B229,Project_Register!$A$6:$A$40,0)))/(INDEX(Project_Register!$H$6:$H$40,MATCH(B229,Project_Register!$A$6:$A$40,0))-INDEX(Project_Register!$G$6:$G$40,MATCH(B229,Project_Register!$A$6:$A$40,0))))))</f>
        <v/>
      </c>
      <c r="L229" s="40" t="str">
        <f aca="false">IF(OR(B229="",D229="",T229="On Hold"),"",ROUND((D229-K229)*100,0))</f>
        <v/>
      </c>
      <c r="M229" s="38" t="str">
        <f aca="false">IF(OR(B229="",F229=""),"",F229/INDEX(Project_Register!$I$6:$I$40,MATCH(B229,Project_Register!$A$6:$A$40,0)))</f>
        <v/>
      </c>
      <c r="N229" s="40" t="str">
        <f aca="false">IF(OR(B229="",G229="",T229="On Hold"),"",G229-INDEX(Project_Register!$H$6:$H$40,MATCH(B229,Project_Register!$A$6:$A$40,0)))</f>
        <v/>
      </c>
      <c r="O229" s="0" t="str">
        <f aca="false">IF(B229="","",IF(D229="","No update",IF(AND(T229&lt;&gt;"Active",D229&lt;1),T229,IF(D229&gt;=1,"Complete",IF(OR(L229&lt;=SV_Red,M229&gt;Cost_Red,N229&gt;Slip_Red),"Red",IF(OR(L229&lt;=SV_Amber,M229&gt;Cost_Amber,N229&gt;Slip_Amber),"Amber","Green"))))))</f>
        <v/>
      </c>
      <c r="P229" s="0" t="str">
        <f aca="false">IF(AND(H229="Green",OR(O229="Amber",O229="Red")),"Watermelon","")</f>
        <v/>
      </c>
      <c r="Q229" s="0" t="str">
        <f aca="false">IF(B229="","",IF(J229="","Missing",IF(J229&gt;A229+UpdateDue,"Late","On time")))</f>
        <v/>
      </c>
      <c r="R229" s="0" t="str">
        <f aca="false">IF(OR(B229="",D229=""),"",IF(COUNTIFS($B$6:$B$400,B229,$A$6:$A$400,EOMONTH(A229,-1))=0,"",IF(D229&lt;SUMIFS($D$6:$D$400,$B$6:$B$400,B229,$A$6:$A$400,EOMONTH(A229,-1)),"Dropped","")))</f>
        <v/>
      </c>
      <c r="S229" s="41" t="str">
        <f aca="false">IF(B229="","",B229&amp;"|"&amp;(YEAR(A229)*100+MONTH(A229)))</f>
        <v/>
      </c>
    </row>
    <row r="230" customFormat="false" ht="15" hidden="false" customHeight="false" outlineLevel="0" collapsed="false">
      <c r="A230" s="37"/>
      <c r="C230" s="0" t="str">
        <f aca="false">IF(B230="","",IFERROR(INDEX(Project_Register!$B$6:$B$40,MATCH(B230,Project_Register!$A$6:$A$40,0)),"Unknown ID"))</f>
        <v/>
      </c>
      <c r="D230" s="38"/>
      <c r="E230" s="24"/>
      <c r="F230" s="24"/>
      <c r="G230" s="39"/>
      <c r="J230" s="39"/>
      <c r="K230" s="38" t="str">
        <f aca="false">IF(OR(B230="",T230="On Hold"),"",MAX(0,MIN(1,(A230-INDEX(Project_Register!$G$6:$G$40,MATCH(B230,Project_Register!$A$6:$A$40,0)))/(INDEX(Project_Register!$H$6:$H$40,MATCH(B230,Project_Register!$A$6:$A$40,0))-INDEX(Project_Register!$G$6:$G$40,MATCH(B230,Project_Register!$A$6:$A$40,0))))))</f>
        <v/>
      </c>
      <c r="L230" s="40" t="str">
        <f aca="false">IF(OR(B230="",D230="",T230="On Hold"),"",ROUND((D230-K230)*100,0))</f>
        <v/>
      </c>
      <c r="M230" s="38" t="str">
        <f aca="false">IF(OR(B230="",F230=""),"",F230/INDEX(Project_Register!$I$6:$I$40,MATCH(B230,Project_Register!$A$6:$A$40,0)))</f>
        <v/>
      </c>
      <c r="N230" s="40" t="str">
        <f aca="false">IF(OR(B230="",G230="",T230="On Hold"),"",G230-INDEX(Project_Register!$H$6:$H$40,MATCH(B230,Project_Register!$A$6:$A$40,0)))</f>
        <v/>
      </c>
      <c r="O230" s="0" t="str">
        <f aca="false">IF(B230="","",IF(D230="","No update",IF(AND(T230&lt;&gt;"Active",D230&lt;1),T230,IF(D230&gt;=1,"Complete",IF(OR(L230&lt;=SV_Red,M230&gt;Cost_Red,N230&gt;Slip_Red),"Red",IF(OR(L230&lt;=SV_Amber,M230&gt;Cost_Amber,N230&gt;Slip_Amber),"Amber","Green"))))))</f>
        <v/>
      </c>
      <c r="P230" s="0" t="str">
        <f aca="false">IF(AND(H230="Green",OR(O230="Amber",O230="Red")),"Watermelon","")</f>
        <v/>
      </c>
      <c r="Q230" s="0" t="str">
        <f aca="false">IF(B230="","",IF(J230="","Missing",IF(J230&gt;A230+UpdateDue,"Late","On time")))</f>
        <v/>
      </c>
      <c r="R230" s="0" t="str">
        <f aca="false">IF(OR(B230="",D230=""),"",IF(COUNTIFS($B$6:$B$400,B230,$A$6:$A$400,EOMONTH(A230,-1))=0,"",IF(D230&lt;SUMIFS($D$6:$D$400,$B$6:$B$400,B230,$A$6:$A$400,EOMONTH(A230,-1)),"Dropped","")))</f>
        <v/>
      </c>
      <c r="S230" s="41" t="str">
        <f aca="false">IF(B230="","",B230&amp;"|"&amp;(YEAR(A230)*100+MONTH(A230)))</f>
        <v/>
      </c>
    </row>
    <row r="231" customFormat="false" ht="15" hidden="false" customHeight="false" outlineLevel="0" collapsed="false">
      <c r="A231" s="37"/>
      <c r="C231" s="0" t="str">
        <f aca="false">IF(B231="","",IFERROR(INDEX(Project_Register!$B$6:$B$40,MATCH(B231,Project_Register!$A$6:$A$40,0)),"Unknown ID"))</f>
        <v/>
      </c>
      <c r="D231" s="38"/>
      <c r="E231" s="24"/>
      <c r="F231" s="24"/>
      <c r="G231" s="39"/>
      <c r="J231" s="39"/>
      <c r="K231" s="38" t="str">
        <f aca="false">IF(OR(B231="",T231="On Hold"),"",MAX(0,MIN(1,(A231-INDEX(Project_Register!$G$6:$G$40,MATCH(B231,Project_Register!$A$6:$A$40,0)))/(INDEX(Project_Register!$H$6:$H$40,MATCH(B231,Project_Register!$A$6:$A$40,0))-INDEX(Project_Register!$G$6:$G$40,MATCH(B231,Project_Register!$A$6:$A$40,0))))))</f>
        <v/>
      </c>
      <c r="L231" s="40" t="str">
        <f aca="false">IF(OR(B231="",D231="",T231="On Hold"),"",ROUND((D231-K231)*100,0))</f>
        <v/>
      </c>
      <c r="M231" s="38" t="str">
        <f aca="false">IF(OR(B231="",F231=""),"",F231/INDEX(Project_Register!$I$6:$I$40,MATCH(B231,Project_Register!$A$6:$A$40,0)))</f>
        <v/>
      </c>
      <c r="N231" s="40" t="str">
        <f aca="false">IF(OR(B231="",G231="",T231="On Hold"),"",G231-INDEX(Project_Register!$H$6:$H$40,MATCH(B231,Project_Register!$A$6:$A$40,0)))</f>
        <v/>
      </c>
      <c r="O231" s="0" t="str">
        <f aca="false">IF(B231="","",IF(D231="","No update",IF(AND(T231&lt;&gt;"Active",D231&lt;1),T231,IF(D231&gt;=1,"Complete",IF(OR(L231&lt;=SV_Red,M231&gt;Cost_Red,N231&gt;Slip_Red),"Red",IF(OR(L231&lt;=SV_Amber,M231&gt;Cost_Amber,N231&gt;Slip_Amber),"Amber","Green"))))))</f>
        <v/>
      </c>
      <c r="P231" s="0" t="str">
        <f aca="false">IF(AND(H231="Green",OR(O231="Amber",O231="Red")),"Watermelon","")</f>
        <v/>
      </c>
      <c r="Q231" s="0" t="str">
        <f aca="false">IF(B231="","",IF(J231="","Missing",IF(J231&gt;A231+UpdateDue,"Late","On time")))</f>
        <v/>
      </c>
      <c r="R231" s="0" t="str">
        <f aca="false">IF(OR(B231="",D231=""),"",IF(COUNTIFS($B$6:$B$400,B231,$A$6:$A$400,EOMONTH(A231,-1))=0,"",IF(D231&lt;SUMIFS($D$6:$D$400,$B$6:$B$400,B231,$A$6:$A$400,EOMONTH(A231,-1)),"Dropped","")))</f>
        <v/>
      </c>
      <c r="S231" s="41" t="str">
        <f aca="false">IF(B231="","",B231&amp;"|"&amp;(YEAR(A231)*100+MONTH(A231)))</f>
        <v/>
      </c>
    </row>
    <row r="232" customFormat="false" ht="15" hidden="false" customHeight="false" outlineLevel="0" collapsed="false">
      <c r="A232" s="37"/>
      <c r="C232" s="0" t="str">
        <f aca="false">IF(B232="","",IFERROR(INDEX(Project_Register!$B$6:$B$40,MATCH(B232,Project_Register!$A$6:$A$40,0)),"Unknown ID"))</f>
        <v/>
      </c>
      <c r="D232" s="38"/>
      <c r="E232" s="24"/>
      <c r="F232" s="24"/>
      <c r="G232" s="39"/>
      <c r="J232" s="39"/>
      <c r="K232" s="38" t="str">
        <f aca="false">IF(OR(B232="",T232="On Hold"),"",MAX(0,MIN(1,(A232-INDEX(Project_Register!$G$6:$G$40,MATCH(B232,Project_Register!$A$6:$A$40,0)))/(INDEX(Project_Register!$H$6:$H$40,MATCH(B232,Project_Register!$A$6:$A$40,0))-INDEX(Project_Register!$G$6:$G$40,MATCH(B232,Project_Register!$A$6:$A$40,0))))))</f>
        <v/>
      </c>
      <c r="L232" s="40" t="str">
        <f aca="false">IF(OR(B232="",D232="",T232="On Hold"),"",ROUND((D232-K232)*100,0))</f>
        <v/>
      </c>
      <c r="M232" s="38" t="str">
        <f aca="false">IF(OR(B232="",F232=""),"",F232/INDEX(Project_Register!$I$6:$I$40,MATCH(B232,Project_Register!$A$6:$A$40,0)))</f>
        <v/>
      </c>
      <c r="N232" s="40" t="str">
        <f aca="false">IF(OR(B232="",G232="",T232="On Hold"),"",G232-INDEX(Project_Register!$H$6:$H$40,MATCH(B232,Project_Register!$A$6:$A$40,0)))</f>
        <v/>
      </c>
      <c r="O232" s="0" t="str">
        <f aca="false">IF(B232="","",IF(D232="","No update",IF(AND(T232&lt;&gt;"Active",D232&lt;1),T232,IF(D232&gt;=1,"Complete",IF(OR(L232&lt;=SV_Red,M232&gt;Cost_Red,N232&gt;Slip_Red),"Red",IF(OR(L232&lt;=SV_Amber,M232&gt;Cost_Amber,N232&gt;Slip_Amber),"Amber","Green"))))))</f>
        <v/>
      </c>
      <c r="P232" s="0" t="str">
        <f aca="false">IF(AND(H232="Green",OR(O232="Amber",O232="Red")),"Watermelon","")</f>
        <v/>
      </c>
      <c r="Q232" s="0" t="str">
        <f aca="false">IF(B232="","",IF(J232="","Missing",IF(J232&gt;A232+UpdateDue,"Late","On time")))</f>
        <v/>
      </c>
      <c r="R232" s="0" t="str">
        <f aca="false">IF(OR(B232="",D232=""),"",IF(COUNTIFS($B$6:$B$400,B232,$A$6:$A$400,EOMONTH(A232,-1))=0,"",IF(D232&lt;SUMIFS($D$6:$D$400,$B$6:$B$400,B232,$A$6:$A$400,EOMONTH(A232,-1)),"Dropped","")))</f>
        <v/>
      </c>
      <c r="S232" s="41" t="str">
        <f aca="false">IF(B232="","",B232&amp;"|"&amp;(YEAR(A232)*100+MONTH(A232)))</f>
        <v/>
      </c>
    </row>
    <row r="233" customFormat="false" ht="15" hidden="false" customHeight="false" outlineLevel="0" collapsed="false">
      <c r="A233" s="37"/>
      <c r="C233" s="0" t="str">
        <f aca="false">IF(B233="","",IFERROR(INDEX(Project_Register!$B$6:$B$40,MATCH(B233,Project_Register!$A$6:$A$40,0)),"Unknown ID"))</f>
        <v/>
      </c>
      <c r="D233" s="38"/>
      <c r="E233" s="24"/>
      <c r="F233" s="24"/>
      <c r="G233" s="39"/>
      <c r="J233" s="39"/>
      <c r="K233" s="38" t="str">
        <f aca="false">IF(OR(B233="",T233="On Hold"),"",MAX(0,MIN(1,(A233-INDEX(Project_Register!$G$6:$G$40,MATCH(B233,Project_Register!$A$6:$A$40,0)))/(INDEX(Project_Register!$H$6:$H$40,MATCH(B233,Project_Register!$A$6:$A$40,0))-INDEX(Project_Register!$G$6:$G$40,MATCH(B233,Project_Register!$A$6:$A$40,0))))))</f>
        <v/>
      </c>
      <c r="L233" s="40" t="str">
        <f aca="false">IF(OR(B233="",D233="",T233="On Hold"),"",ROUND((D233-K233)*100,0))</f>
        <v/>
      </c>
      <c r="M233" s="38" t="str">
        <f aca="false">IF(OR(B233="",F233=""),"",F233/INDEX(Project_Register!$I$6:$I$40,MATCH(B233,Project_Register!$A$6:$A$40,0)))</f>
        <v/>
      </c>
      <c r="N233" s="40" t="str">
        <f aca="false">IF(OR(B233="",G233="",T233="On Hold"),"",G233-INDEX(Project_Register!$H$6:$H$40,MATCH(B233,Project_Register!$A$6:$A$40,0)))</f>
        <v/>
      </c>
      <c r="O233" s="0" t="str">
        <f aca="false">IF(B233="","",IF(D233="","No update",IF(AND(T233&lt;&gt;"Active",D233&lt;1),T233,IF(D233&gt;=1,"Complete",IF(OR(L233&lt;=SV_Red,M233&gt;Cost_Red,N233&gt;Slip_Red),"Red",IF(OR(L233&lt;=SV_Amber,M233&gt;Cost_Amber,N233&gt;Slip_Amber),"Amber","Green"))))))</f>
        <v/>
      </c>
      <c r="P233" s="0" t="str">
        <f aca="false">IF(AND(H233="Green",OR(O233="Amber",O233="Red")),"Watermelon","")</f>
        <v/>
      </c>
      <c r="Q233" s="0" t="str">
        <f aca="false">IF(B233="","",IF(J233="","Missing",IF(J233&gt;A233+UpdateDue,"Late","On time")))</f>
        <v/>
      </c>
      <c r="R233" s="0" t="str">
        <f aca="false">IF(OR(B233="",D233=""),"",IF(COUNTIFS($B$6:$B$400,B233,$A$6:$A$400,EOMONTH(A233,-1))=0,"",IF(D233&lt;SUMIFS($D$6:$D$400,$B$6:$B$400,B233,$A$6:$A$400,EOMONTH(A233,-1)),"Dropped","")))</f>
        <v/>
      </c>
      <c r="S233" s="41" t="str">
        <f aca="false">IF(B233="","",B233&amp;"|"&amp;(YEAR(A233)*100+MONTH(A233)))</f>
        <v/>
      </c>
    </row>
    <row r="234" customFormat="false" ht="15" hidden="false" customHeight="false" outlineLevel="0" collapsed="false">
      <c r="A234" s="37"/>
      <c r="C234" s="0" t="str">
        <f aca="false">IF(B234="","",IFERROR(INDEX(Project_Register!$B$6:$B$40,MATCH(B234,Project_Register!$A$6:$A$40,0)),"Unknown ID"))</f>
        <v/>
      </c>
      <c r="D234" s="38"/>
      <c r="E234" s="24"/>
      <c r="F234" s="24"/>
      <c r="G234" s="39"/>
      <c r="J234" s="39"/>
      <c r="K234" s="38" t="str">
        <f aca="false">IF(OR(B234="",T234="On Hold"),"",MAX(0,MIN(1,(A234-INDEX(Project_Register!$G$6:$G$40,MATCH(B234,Project_Register!$A$6:$A$40,0)))/(INDEX(Project_Register!$H$6:$H$40,MATCH(B234,Project_Register!$A$6:$A$40,0))-INDEX(Project_Register!$G$6:$G$40,MATCH(B234,Project_Register!$A$6:$A$40,0))))))</f>
        <v/>
      </c>
      <c r="L234" s="40" t="str">
        <f aca="false">IF(OR(B234="",D234="",T234="On Hold"),"",ROUND((D234-K234)*100,0))</f>
        <v/>
      </c>
      <c r="M234" s="38" t="str">
        <f aca="false">IF(OR(B234="",F234=""),"",F234/INDEX(Project_Register!$I$6:$I$40,MATCH(B234,Project_Register!$A$6:$A$40,0)))</f>
        <v/>
      </c>
      <c r="N234" s="40" t="str">
        <f aca="false">IF(OR(B234="",G234="",T234="On Hold"),"",G234-INDEX(Project_Register!$H$6:$H$40,MATCH(B234,Project_Register!$A$6:$A$40,0)))</f>
        <v/>
      </c>
      <c r="O234" s="0" t="str">
        <f aca="false">IF(B234="","",IF(D234="","No update",IF(AND(T234&lt;&gt;"Active",D234&lt;1),T234,IF(D234&gt;=1,"Complete",IF(OR(L234&lt;=SV_Red,M234&gt;Cost_Red,N234&gt;Slip_Red),"Red",IF(OR(L234&lt;=SV_Amber,M234&gt;Cost_Amber,N234&gt;Slip_Amber),"Amber","Green"))))))</f>
        <v/>
      </c>
      <c r="P234" s="0" t="str">
        <f aca="false">IF(AND(H234="Green",OR(O234="Amber",O234="Red")),"Watermelon","")</f>
        <v/>
      </c>
      <c r="Q234" s="0" t="str">
        <f aca="false">IF(B234="","",IF(J234="","Missing",IF(J234&gt;A234+UpdateDue,"Late","On time")))</f>
        <v/>
      </c>
      <c r="R234" s="0" t="str">
        <f aca="false">IF(OR(B234="",D234=""),"",IF(COUNTIFS($B$6:$B$400,B234,$A$6:$A$400,EOMONTH(A234,-1))=0,"",IF(D234&lt;SUMIFS($D$6:$D$400,$B$6:$B$400,B234,$A$6:$A$400,EOMONTH(A234,-1)),"Dropped","")))</f>
        <v/>
      </c>
      <c r="S234" s="41" t="str">
        <f aca="false">IF(B234="","",B234&amp;"|"&amp;(YEAR(A234)*100+MONTH(A234)))</f>
        <v/>
      </c>
    </row>
    <row r="235" customFormat="false" ht="15" hidden="false" customHeight="false" outlineLevel="0" collapsed="false">
      <c r="A235" s="37"/>
      <c r="C235" s="0" t="str">
        <f aca="false">IF(B235="","",IFERROR(INDEX(Project_Register!$B$6:$B$40,MATCH(B235,Project_Register!$A$6:$A$40,0)),"Unknown ID"))</f>
        <v/>
      </c>
      <c r="D235" s="38"/>
      <c r="E235" s="24"/>
      <c r="F235" s="24"/>
      <c r="G235" s="39"/>
      <c r="J235" s="39"/>
      <c r="K235" s="38" t="str">
        <f aca="false">IF(OR(B235="",T235="On Hold"),"",MAX(0,MIN(1,(A235-INDEX(Project_Register!$G$6:$G$40,MATCH(B235,Project_Register!$A$6:$A$40,0)))/(INDEX(Project_Register!$H$6:$H$40,MATCH(B235,Project_Register!$A$6:$A$40,0))-INDEX(Project_Register!$G$6:$G$40,MATCH(B235,Project_Register!$A$6:$A$40,0))))))</f>
        <v/>
      </c>
      <c r="L235" s="40" t="str">
        <f aca="false">IF(OR(B235="",D235="",T235="On Hold"),"",ROUND((D235-K235)*100,0))</f>
        <v/>
      </c>
      <c r="M235" s="38" t="str">
        <f aca="false">IF(OR(B235="",F235=""),"",F235/INDEX(Project_Register!$I$6:$I$40,MATCH(B235,Project_Register!$A$6:$A$40,0)))</f>
        <v/>
      </c>
      <c r="N235" s="40" t="str">
        <f aca="false">IF(OR(B235="",G235="",T235="On Hold"),"",G235-INDEX(Project_Register!$H$6:$H$40,MATCH(B235,Project_Register!$A$6:$A$40,0)))</f>
        <v/>
      </c>
      <c r="O235" s="0" t="str">
        <f aca="false">IF(B235="","",IF(D235="","No update",IF(AND(T235&lt;&gt;"Active",D235&lt;1),T235,IF(D235&gt;=1,"Complete",IF(OR(L235&lt;=SV_Red,M235&gt;Cost_Red,N235&gt;Slip_Red),"Red",IF(OR(L235&lt;=SV_Amber,M235&gt;Cost_Amber,N235&gt;Slip_Amber),"Amber","Green"))))))</f>
        <v/>
      </c>
      <c r="P235" s="0" t="str">
        <f aca="false">IF(AND(H235="Green",OR(O235="Amber",O235="Red")),"Watermelon","")</f>
        <v/>
      </c>
      <c r="Q235" s="0" t="str">
        <f aca="false">IF(B235="","",IF(J235="","Missing",IF(J235&gt;A235+UpdateDue,"Late","On time")))</f>
        <v/>
      </c>
      <c r="R235" s="0" t="str">
        <f aca="false">IF(OR(B235="",D235=""),"",IF(COUNTIFS($B$6:$B$400,B235,$A$6:$A$400,EOMONTH(A235,-1))=0,"",IF(D235&lt;SUMIFS($D$6:$D$400,$B$6:$B$400,B235,$A$6:$A$400,EOMONTH(A235,-1)),"Dropped","")))</f>
        <v/>
      </c>
      <c r="S235" s="41" t="str">
        <f aca="false">IF(B235="","",B235&amp;"|"&amp;(YEAR(A235)*100+MONTH(A235)))</f>
        <v/>
      </c>
    </row>
    <row r="236" customFormat="false" ht="15" hidden="false" customHeight="false" outlineLevel="0" collapsed="false">
      <c r="A236" s="37"/>
      <c r="C236" s="0" t="str">
        <f aca="false">IF(B236="","",IFERROR(INDEX(Project_Register!$B$6:$B$40,MATCH(B236,Project_Register!$A$6:$A$40,0)),"Unknown ID"))</f>
        <v/>
      </c>
      <c r="D236" s="38"/>
      <c r="E236" s="24"/>
      <c r="F236" s="24"/>
      <c r="G236" s="39"/>
      <c r="J236" s="39"/>
      <c r="K236" s="38" t="str">
        <f aca="false">IF(OR(B236="",T236="On Hold"),"",MAX(0,MIN(1,(A236-INDEX(Project_Register!$G$6:$G$40,MATCH(B236,Project_Register!$A$6:$A$40,0)))/(INDEX(Project_Register!$H$6:$H$40,MATCH(B236,Project_Register!$A$6:$A$40,0))-INDEX(Project_Register!$G$6:$G$40,MATCH(B236,Project_Register!$A$6:$A$40,0))))))</f>
        <v/>
      </c>
      <c r="L236" s="40" t="str">
        <f aca="false">IF(OR(B236="",D236="",T236="On Hold"),"",ROUND((D236-K236)*100,0))</f>
        <v/>
      </c>
      <c r="M236" s="38" t="str">
        <f aca="false">IF(OR(B236="",F236=""),"",F236/INDEX(Project_Register!$I$6:$I$40,MATCH(B236,Project_Register!$A$6:$A$40,0)))</f>
        <v/>
      </c>
      <c r="N236" s="40" t="str">
        <f aca="false">IF(OR(B236="",G236="",T236="On Hold"),"",G236-INDEX(Project_Register!$H$6:$H$40,MATCH(B236,Project_Register!$A$6:$A$40,0)))</f>
        <v/>
      </c>
      <c r="O236" s="0" t="str">
        <f aca="false">IF(B236="","",IF(D236="","No update",IF(AND(T236&lt;&gt;"Active",D236&lt;1),T236,IF(D236&gt;=1,"Complete",IF(OR(L236&lt;=SV_Red,M236&gt;Cost_Red,N236&gt;Slip_Red),"Red",IF(OR(L236&lt;=SV_Amber,M236&gt;Cost_Amber,N236&gt;Slip_Amber),"Amber","Green"))))))</f>
        <v/>
      </c>
      <c r="P236" s="0" t="str">
        <f aca="false">IF(AND(H236="Green",OR(O236="Amber",O236="Red")),"Watermelon","")</f>
        <v/>
      </c>
      <c r="Q236" s="0" t="str">
        <f aca="false">IF(B236="","",IF(J236="","Missing",IF(J236&gt;A236+UpdateDue,"Late","On time")))</f>
        <v/>
      </c>
      <c r="R236" s="0" t="str">
        <f aca="false">IF(OR(B236="",D236=""),"",IF(COUNTIFS($B$6:$B$400,B236,$A$6:$A$400,EOMONTH(A236,-1))=0,"",IF(D236&lt;SUMIFS($D$6:$D$400,$B$6:$B$400,B236,$A$6:$A$400,EOMONTH(A236,-1)),"Dropped","")))</f>
        <v/>
      </c>
      <c r="S236" s="41" t="str">
        <f aca="false">IF(B236="","",B236&amp;"|"&amp;(YEAR(A236)*100+MONTH(A236)))</f>
        <v/>
      </c>
    </row>
    <row r="237" customFormat="false" ht="15" hidden="false" customHeight="false" outlineLevel="0" collapsed="false">
      <c r="A237" s="37"/>
      <c r="C237" s="0" t="str">
        <f aca="false">IF(B237="","",IFERROR(INDEX(Project_Register!$B$6:$B$40,MATCH(B237,Project_Register!$A$6:$A$40,0)),"Unknown ID"))</f>
        <v/>
      </c>
      <c r="D237" s="38"/>
      <c r="E237" s="24"/>
      <c r="F237" s="24"/>
      <c r="G237" s="39"/>
      <c r="J237" s="39"/>
      <c r="K237" s="38" t="str">
        <f aca="false">IF(OR(B237="",T237="On Hold"),"",MAX(0,MIN(1,(A237-INDEX(Project_Register!$G$6:$G$40,MATCH(B237,Project_Register!$A$6:$A$40,0)))/(INDEX(Project_Register!$H$6:$H$40,MATCH(B237,Project_Register!$A$6:$A$40,0))-INDEX(Project_Register!$G$6:$G$40,MATCH(B237,Project_Register!$A$6:$A$40,0))))))</f>
        <v/>
      </c>
      <c r="L237" s="40" t="str">
        <f aca="false">IF(OR(B237="",D237="",T237="On Hold"),"",ROUND((D237-K237)*100,0))</f>
        <v/>
      </c>
      <c r="M237" s="38" t="str">
        <f aca="false">IF(OR(B237="",F237=""),"",F237/INDEX(Project_Register!$I$6:$I$40,MATCH(B237,Project_Register!$A$6:$A$40,0)))</f>
        <v/>
      </c>
      <c r="N237" s="40" t="str">
        <f aca="false">IF(OR(B237="",G237="",T237="On Hold"),"",G237-INDEX(Project_Register!$H$6:$H$40,MATCH(B237,Project_Register!$A$6:$A$40,0)))</f>
        <v/>
      </c>
      <c r="O237" s="0" t="str">
        <f aca="false">IF(B237="","",IF(D237="","No update",IF(AND(T237&lt;&gt;"Active",D237&lt;1),T237,IF(D237&gt;=1,"Complete",IF(OR(L237&lt;=SV_Red,M237&gt;Cost_Red,N237&gt;Slip_Red),"Red",IF(OR(L237&lt;=SV_Amber,M237&gt;Cost_Amber,N237&gt;Slip_Amber),"Amber","Green"))))))</f>
        <v/>
      </c>
      <c r="P237" s="0" t="str">
        <f aca="false">IF(AND(H237="Green",OR(O237="Amber",O237="Red")),"Watermelon","")</f>
        <v/>
      </c>
      <c r="Q237" s="0" t="str">
        <f aca="false">IF(B237="","",IF(J237="","Missing",IF(J237&gt;A237+UpdateDue,"Late","On time")))</f>
        <v/>
      </c>
      <c r="R237" s="0" t="str">
        <f aca="false">IF(OR(B237="",D237=""),"",IF(COUNTIFS($B$6:$B$400,B237,$A$6:$A$400,EOMONTH(A237,-1))=0,"",IF(D237&lt;SUMIFS($D$6:$D$400,$B$6:$B$400,B237,$A$6:$A$400,EOMONTH(A237,-1)),"Dropped","")))</f>
        <v/>
      </c>
      <c r="S237" s="41" t="str">
        <f aca="false">IF(B237="","",B237&amp;"|"&amp;(YEAR(A237)*100+MONTH(A237)))</f>
        <v/>
      </c>
    </row>
    <row r="238" customFormat="false" ht="15" hidden="false" customHeight="false" outlineLevel="0" collapsed="false">
      <c r="A238" s="37"/>
      <c r="C238" s="0" t="str">
        <f aca="false">IF(B238="","",IFERROR(INDEX(Project_Register!$B$6:$B$40,MATCH(B238,Project_Register!$A$6:$A$40,0)),"Unknown ID"))</f>
        <v/>
      </c>
      <c r="D238" s="38"/>
      <c r="E238" s="24"/>
      <c r="F238" s="24"/>
      <c r="G238" s="39"/>
      <c r="J238" s="39"/>
      <c r="K238" s="38" t="str">
        <f aca="false">IF(OR(B238="",T238="On Hold"),"",MAX(0,MIN(1,(A238-INDEX(Project_Register!$G$6:$G$40,MATCH(B238,Project_Register!$A$6:$A$40,0)))/(INDEX(Project_Register!$H$6:$H$40,MATCH(B238,Project_Register!$A$6:$A$40,0))-INDEX(Project_Register!$G$6:$G$40,MATCH(B238,Project_Register!$A$6:$A$40,0))))))</f>
        <v/>
      </c>
      <c r="L238" s="40" t="str">
        <f aca="false">IF(OR(B238="",D238="",T238="On Hold"),"",ROUND((D238-K238)*100,0))</f>
        <v/>
      </c>
      <c r="M238" s="38" t="str">
        <f aca="false">IF(OR(B238="",F238=""),"",F238/INDEX(Project_Register!$I$6:$I$40,MATCH(B238,Project_Register!$A$6:$A$40,0)))</f>
        <v/>
      </c>
      <c r="N238" s="40" t="str">
        <f aca="false">IF(OR(B238="",G238="",T238="On Hold"),"",G238-INDEX(Project_Register!$H$6:$H$40,MATCH(B238,Project_Register!$A$6:$A$40,0)))</f>
        <v/>
      </c>
      <c r="O238" s="0" t="str">
        <f aca="false">IF(B238="","",IF(D238="","No update",IF(AND(T238&lt;&gt;"Active",D238&lt;1),T238,IF(D238&gt;=1,"Complete",IF(OR(L238&lt;=SV_Red,M238&gt;Cost_Red,N238&gt;Slip_Red),"Red",IF(OR(L238&lt;=SV_Amber,M238&gt;Cost_Amber,N238&gt;Slip_Amber),"Amber","Green"))))))</f>
        <v/>
      </c>
      <c r="P238" s="0" t="str">
        <f aca="false">IF(AND(H238="Green",OR(O238="Amber",O238="Red")),"Watermelon","")</f>
        <v/>
      </c>
      <c r="Q238" s="0" t="str">
        <f aca="false">IF(B238="","",IF(J238="","Missing",IF(J238&gt;A238+UpdateDue,"Late","On time")))</f>
        <v/>
      </c>
      <c r="R238" s="0" t="str">
        <f aca="false">IF(OR(B238="",D238=""),"",IF(COUNTIFS($B$6:$B$400,B238,$A$6:$A$400,EOMONTH(A238,-1))=0,"",IF(D238&lt;SUMIFS($D$6:$D$400,$B$6:$B$400,B238,$A$6:$A$400,EOMONTH(A238,-1)),"Dropped","")))</f>
        <v/>
      </c>
      <c r="S238" s="41" t="str">
        <f aca="false">IF(B238="","",B238&amp;"|"&amp;(YEAR(A238)*100+MONTH(A238)))</f>
        <v/>
      </c>
    </row>
    <row r="239" customFormat="false" ht="15" hidden="false" customHeight="false" outlineLevel="0" collapsed="false">
      <c r="A239" s="37"/>
      <c r="C239" s="0" t="str">
        <f aca="false">IF(B239="","",IFERROR(INDEX(Project_Register!$B$6:$B$40,MATCH(B239,Project_Register!$A$6:$A$40,0)),"Unknown ID"))</f>
        <v/>
      </c>
      <c r="D239" s="38"/>
      <c r="E239" s="24"/>
      <c r="F239" s="24"/>
      <c r="G239" s="39"/>
      <c r="J239" s="39"/>
      <c r="K239" s="38" t="str">
        <f aca="false">IF(OR(B239="",T239="On Hold"),"",MAX(0,MIN(1,(A239-INDEX(Project_Register!$G$6:$G$40,MATCH(B239,Project_Register!$A$6:$A$40,0)))/(INDEX(Project_Register!$H$6:$H$40,MATCH(B239,Project_Register!$A$6:$A$40,0))-INDEX(Project_Register!$G$6:$G$40,MATCH(B239,Project_Register!$A$6:$A$40,0))))))</f>
        <v/>
      </c>
      <c r="L239" s="40" t="str">
        <f aca="false">IF(OR(B239="",D239="",T239="On Hold"),"",ROUND((D239-K239)*100,0))</f>
        <v/>
      </c>
      <c r="M239" s="38" t="str">
        <f aca="false">IF(OR(B239="",F239=""),"",F239/INDEX(Project_Register!$I$6:$I$40,MATCH(B239,Project_Register!$A$6:$A$40,0)))</f>
        <v/>
      </c>
      <c r="N239" s="40" t="str">
        <f aca="false">IF(OR(B239="",G239="",T239="On Hold"),"",G239-INDEX(Project_Register!$H$6:$H$40,MATCH(B239,Project_Register!$A$6:$A$40,0)))</f>
        <v/>
      </c>
      <c r="O239" s="0" t="str">
        <f aca="false">IF(B239="","",IF(D239="","No update",IF(AND(T239&lt;&gt;"Active",D239&lt;1),T239,IF(D239&gt;=1,"Complete",IF(OR(L239&lt;=SV_Red,M239&gt;Cost_Red,N239&gt;Slip_Red),"Red",IF(OR(L239&lt;=SV_Amber,M239&gt;Cost_Amber,N239&gt;Slip_Amber),"Amber","Green"))))))</f>
        <v/>
      </c>
      <c r="P239" s="0" t="str">
        <f aca="false">IF(AND(H239="Green",OR(O239="Amber",O239="Red")),"Watermelon","")</f>
        <v/>
      </c>
      <c r="Q239" s="0" t="str">
        <f aca="false">IF(B239="","",IF(J239="","Missing",IF(J239&gt;A239+UpdateDue,"Late","On time")))</f>
        <v/>
      </c>
      <c r="R239" s="0" t="str">
        <f aca="false">IF(OR(B239="",D239=""),"",IF(COUNTIFS($B$6:$B$400,B239,$A$6:$A$400,EOMONTH(A239,-1))=0,"",IF(D239&lt;SUMIFS($D$6:$D$400,$B$6:$B$400,B239,$A$6:$A$400,EOMONTH(A239,-1)),"Dropped","")))</f>
        <v/>
      </c>
      <c r="S239" s="41" t="str">
        <f aca="false">IF(B239="","",B239&amp;"|"&amp;(YEAR(A239)*100+MONTH(A239)))</f>
        <v/>
      </c>
    </row>
    <row r="240" customFormat="false" ht="15" hidden="false" customHeight="false" outlineLevel="0" collapsed="false">
      <c r="A240" s="37"/>
      <c r="C240" s="0" t="str">
        <f aca="false">IF(B240="","",IFERROR(INDEX(Project_Register!$B$6:$B$40,MATCH(B240,Project_Register!$A$6:$A$40,0)),"Unknown ID"))</f>
        <v/>
      </c>
      <c r="D240" s="38"/>
      <c r="E240" s="24"/>
      <c r="F240" s="24"/>
      <c r="G240" s="39"/>
      <c r="J240" s="39"/>
      <c r="K240" s="38" t="str">
        <f aca="false">IF(OR(B240="",T240="On Hold"),"",MAX(0,MIN(1,(A240-INDEX(Project_Register!$G$6:$G$40,MATCH(B240,Project_Register!$A$6:$A$40,0)))/(INDEX(Project_Register!$H$6:$H$40,MATCH(B240,Project_Register!$A$6:$A$40,0))-INDEX(Project_Register!$G$6:$G$40,MATCH(B240,Project_Register!$A$6:$A$40,0))))))</f>
        <v/>
      </c>
      <c r="L240" s="40" t="str">
        <f aca="false">IF(OR(B240="",D240="",T240="On Hold"),"",ROUND((D240-K240)*100,0))</f>
        <v/>
      </c>
      <c r="M240" s="38" t="str">
        <f aca="false">IF(OR(B240="",F240=""),"",F240/INDEX(Project_Register!$I$6:$I$40,MATCH(B240,Project_Register!$A$6:$A$40,0)))</f>
        <v/>
      </c>
      <c r="N240" s="40" t="str">
        <f aca="false">IF(OR(B240="",G240="",T240="On Hold"),"",G240-INDEX(Project_Register!$H$6:$H$40,MATCH(B240,Project_Register!$A$6:$A$40,0)))</f>
        <v/>
      </c>
      <c r="O240" s="0" t="str">
        <f aca="false">IF(B240="","",IF(D240="","No update",IF(AND(T240&lt;&gt;"Active",D240&lt;1),T240,IF(D240&gt;=1,"Complete",IF(OR(L240&lt;=SV_Red,M240&gt;Cost_Red,N240&gt;Slip_Red),"Red",IF(OR(L240&lt;=SV_Amber,M240&gt;Cost_Amber,N240&gt;Slip_Amber),"Amber","Green"))))))</f>
        <v/>
      </c>
      <c r="P240" s="0" t="str">
        <f aca="false">IF(AND(H240="Green",OR(O240="Amber",O240="Red")),"Watermelon","")</f>
        <v/>
      </c>
      <c r="Q240" s="0" t="str">
        <f aca="false">IF(B240="","",IF(J240="","Missing",IF(J240&gt;A240+UpdateDue,"Late","On time")))</f>
        <v/>
      </c>
      <c r="R240" s="0" t="str">
        <f aca="false">IF(OR(B240="",D240=""),"",IF(COUNTIFS($B$6:$B$400,B240,$A$6:$A$400,EOMONTH(A240,-1))=0,"",IF(D240&lt;SUMIFS($D$6:$D$400,$B$6:$B$400,B240,$A$6:$A$400,EOMONTH(A240,-1)),"Dropped","")))</f>
        <v/>
      </c>
      <c r="S240" s="41" t="str">
        <f aca="false">IF(B240="","",B240&amp;"|"&amp;(YEAR(A240)*100+MONTH(A240)))</f>
        <v/>
      </c>
    </row>
    <row r="241" customFormat="false" ht="15" hidden="false" customHeight="false" outlineLevel="0" collapsed="false">
      <c r="A241" s="37"/>
      <c r="C241" s="0" t="str">
        <f aca="false">IF(B241="","",IFERROR(INDEX(Project_Register!$B$6:$B$40,MATCH(B241,Project_Register!$A$6:$A$40,0)),"Unknown ID"))</f>
        <v/>
      </c>
      <c r="D241" s="38"/>
      <c r="E241" s="24"/>
      <c r="F241" s="24"/>
      <c r="G241" s="39"/>
      <c r="J241" s="39"/>
      <c r="K241" s="38" t="str">
        <f aca="false">IF(OR(B241="",T241="On Hold"),"",MAX(0,MIN(1,(A241-INDEX(Project_Register!$G$6:$G$40,MATCH(B241,Project_Register!$A$6:$A$40,0)))/(INDEX(Project_Register!$H$6:$H$40,MATCH(B241,Project_Register!$A$6:$A$40,0))-INDEX(Project_Register!$G$6:$G$40,MATCH(B241,Project_Register!$A$6:$A$40,0))))))</f>
        <v/>
      </c>
      <c r="L241" s="40" t="str">
        <f aca="false">IF(OR(B241="",D241="",T241="On Hold"),"",ROUND((D241-K241)*100,0))</f>
        <v/>
      </c>
      <c r="M241" s="38" t="str">
        <f aca="false">IF(OR(B241="",F241=""),"",F241/INDEX(Project_Register!$I$6:$I$40,MATCH(B241,Project_Register!$A$6:$A$40,0)))</f>
        <v/>
      </c>
      <c r="N241" s="40" t="str">
        <f aca="false">IF(OR(B241="",G241="",T241="On Hold"),"",G241-INDEX(Project_Register!$H$6:$H$40,MATCH(B241,Project_Register!$A$6:$A$40,0)))</f>
        <v/>
      </c>
      <c r="O241" s="0" t="str">
        <f aca="false">IF(B241="","",IF(D241="","No update",IF(AND(T241&lt;&gt;"Active",D241&lt;1),T241,IF(D241&gt;=1,"Complete",IF(OR(L241&lt;=SV_Red,M241&gt;Cost_Red,N241&gt;Slip_Red),"Red",IF(OR(L241&lt;=SV_Amber,M241&gt;Cost_Amber,N241&gt;Slip_Amber),"Amber","Green"))))))</f>
        <v/>
      </c>
      <c r="P241" s="0" t="str">
        <f aca="false">IF(AND(H241="Green",OR(O241="Amber",O241="Red")),"Watermelon","")</f>
        <v/>
      </c>
      <c r="Q241" s="0" t="str">
        <f aca="false">IF(B241="","",IF(J241="","Missing",IF(J241&gt;A241+UpdateDue,"Late","On time")))</f>
        <v/>
      </c>
      <c r="R241" s="0" t="str">
        <f aca="false">IF(OR(B241="",D241=""),"",IF(COUNTIFS($B$6:$B$400,B241,$A$6:$A$400,EOMONTH(A241,-1))=0,"",IF(D241&lt;SUMIFS($D$6:$D$400,$B$6:$B$400,B241,$A$6:$A$400,EOMONTH(A241,-1)),"Dropped","")))</f>
        <v/>
      </c>
      <c r="S241" s="41" t="str">
        <f aca="false">IF(B241="","",B241&amp;"|"&amp;(YEAR(A241)*100+MONTH(A241)))</f>
        <v/>
      </c>
    </row>
    <row r="242" customFormat="false" ht="15" hidden="false" customHeight="false" outlineLevel="0" collapsed="false">
      <c r="A242" s="37"/>
      <c r="C242" s="0" t="str">
        <f aca="false">IF(B242="","",IFERROR(INDEX(Project_Register!$B$6:$B$40,MATCH(B242,Project_Register!$A$6:$A$40,0)),"Unknown ID"))</f>
        <v/>
      </c>
      <c r="D242" s="38"/>
      <c r="E242" s="24"/>
      <c r="F242" s="24"/>
      <c r="G242" s="39"/>
      <c r="J242" s="39"/>
      <c r="K242" s="38" t="str">
        <f aca="false">IF(OR(B242="",T242="On Hold"),"",MAX(0,MIN(1,(A242-INDEX(Project_Register!$G$6:$G$40,MATCH(B242,Project_Register!$A$6:$A$40,0)))/(INDEX(Project_Register!$H$6:$H$40,MATCH(B242,Project_Register!$A$6:$A$40,0))-INDEX(Project_Register!$G$6:$G$40,MATCH(B242,Project_Register!$A$6:$A$40,0))))))</f>
        <v/>
      </c>
      <c r="L242" s="40" t="str">
        <f aca="false">IF(OR(B242="",D242="",T242="On Hold"),"",ROUND((D242-K242)*100,0))</f>
        <v/>
      </c>
      <c r="M242" s="38" t="str">
        <f aca="false">IF(OR(B242="",F242=""),"",F242/INDEX(Project_Register!$I$6:$I$40,MATCH(B242,Project_Register!$A$6:$A$40,0)))</f>
        <v/>
      </c>
      <c r="N242" s="40" t="str">
        <f aca="false">IF(OR(B242="",G242="",T242="On Hold"),"",G242-INDEX(Project_Register!$H$6:$H$40,MATCH(B242,Project_Register!$A$6:$A$40,0)))</f>
        <v/>
      </c>
      <c r="O242" s="0" t="str">
        <f aca="false">IF(B242="","",IF(D242="","No update",IF(AND(T242&lt;&gt;"Active",D242&lt;1),T242,IF(D242&gt;=1,"Complete",IF(OR(L242&lt;=SV_Red,M242&gt;Cost_Red,N242&gt;Slip_Red),"Red",IF(OR(L242&lt;=SV_Amber,M242&gt;Cost_Amber,N242&gt;Slip_Amber),"Amber","Green"))))))</f>
        <v/>
      </c>
      <c r="P242" s="0" t="str">
        <f aca="false">IF(AND(H242="Green",OR(O242="Amber",O242="Red")),"Watermelon","")</f>
        <v/>
      </c>
      <c r="Q242" s="0" t="str">
        <f aca="false">IF(B242="","",IF(J242="","Missing",IF(J242&gt;A242+UpdateDue,"Late","On time")))</f>
        <v/>
      </c>
      <c r="R242" s="0" t="str">
        <f aca="false">IF(OR(B242="",D242=""),"",IF(COUNTIFS($B$6:$B$400,B242,$A$6:$A$400,EOMONTH(A242,-1))=0,"",IF(D242&lt;SUMIFS($D$6:$D$400,$B$6:$B$400,B242,$A$6:$A$400,EOMONTH(A242,-1)),"Dropped","")))</f>
        <v/>
      </c>
      <c r="S242" s="41" t="str">
        <f aca="false">IF(B242="","",B242&amp;"|"&amp;(YEAR(A242)*100+MONTH(A242)))</f>
        <v/>
      </c>
    </row>
    <row r="243" customFormat="false" ht="15" hidden="false" customHeight="false" outlineLevel="0" collapsed="false">
      <c r="A243" s="37"/>
      <c r="C243" s="0" t="str">
        <f aca="false">IF(B243="","",IFERROR(INDEX(Project_Register!$B$6:$B$40,MATCH(B243,Project_Register!$A$6:$A$40,0)),"Unknown ID"))</f>
        <v/>
      </c>
      <c r="D243" s="38"/>
      <c r="E243" s="24"/>
      <c r="F243" s="24"/>
      <c r="G243" s="39"/>
      <c r="J243" s="39"/>
      <c r="K243" s="38" t="str">
        <f aca="false">IF(OR(B243="",T243="On Hold"),"",MAX(0,MIN(1,(A243-INDEX(Project_Register!$G$6:$G$40,MATCH(B243,Project_Register!$A$6:$A$40,0)))/(INDEX(Project_Register!$H$6:$H$40,MATCH(B243,Project_Register!$A$6:$A$40,0))-INDEX(Project_Register!$G$6:$G$40,MATCH(B243,Project_Register!$A$6:$A$40,0))))))</f>
        <v/>
      </c>
      <c r="L243" s="40" t="str">
        <f aca="false">IF(OR(B243="",D243="",T243="On Hold"),"",ROUND((D243-K243)*100,0))</f>
        <v/>
      </c>
      <c r="M243" s="38" t="str">
        <f aca="false">IF(OR(B243="",F243=""),"",F243/INDEX(Project_Register!$I$6:$I$40,MATCH(B243,Project_Register!$A$6:$A$40,0)))</f>
        <v/>
      </c>
      <c r="N243" s="40" t="str">
        <f aca="false">IF(OR(B243="",G243="",T243="On Hold"),"",G243-INDEX(Project_Register!$H$6:$H$40,MATCH(B243,Project_Register!$A$6:$A$40,0)))</f>
        <v/>
      </c>
      <c r="O243" s="0" t="str">
        <f aca="false">IF(B243="","",IF(D243="","No update",IF(AND(T243&lt;&gt;"Active",D243&lt;1),T243,IF(D243&gt;=1,"Complete",IF(OR(L243&lt;=SV_Red,M243&gt;Cost_Red,N243&gt;Slip_Red),"Red",IF(OR(L243&lt;=SV_Amber,M243&gt;Cost_Amber,N243&gt;Slip_Amber),"Amber","Green"))))))</f>
        <v/>
      </c>
      <c r="P243" s="0" t="str">
        <f aca="false">IF(AND(H243="Green",OR(O243="Amber",O243="Red")),"Watermelon","")</f>
        <v/>
      </c>
      <c r="Q243" s="0" t="str">
        <f aca="false">IF(B243="","",IF(J243="","Missing",IF(J243&gt;A243+UpdateDue,"Late","On time")))</f>
        <v/>
      </c>
      <c r="R243" s="0" t="str">
        <f aca="false">IF(OR(B243="",D243=""),"",IF(COUNTIFS($B$6:$B$400,B243,$A$6:$A$400,EOMONTH(A243,-1))=0,"",IF(D243&lt;SUMIFS($D$6:$D$400,$B$6:$B$400,B243,$A$6:$A$400,EOMONTH(A243,-1)),"Dropped","")))</f>
        <v/>
      </c>
      <c r="S243" s="41" t="str">
        <f aca="false">IF(B243="","",B243&amp;"|"&amp;(YEAR(A243)*100+MONTH(A243)))</f>
        <v/>
      </c>
    </row>
    <row r="244" customFormat="false" ht="15" hidden="false" customHeight="false" outlineLevel="0" collapsed="false">
      <c r="A244" s="37"/>
      <c r="C244" s="0" t="str">
        <f aca="false">IF(B244="","",IFERROR(INDEX(Project_Register!$B$6:$B$40,MATCH(B244,Project_Register!$A$6:$A$40,0)),"Unknown ID"))</f>
        <v/>
      </c>
      <c r="D244" s="38"/>
      <c r="E244" s="24"/>
      <c r="F244" s="24"/>
      <c r="G244" s="39"/>
      <c r="J244" s="39"/>
      <c r="K244" s="38" t="str">
        <f aca="false">IF(OR(B244="",T244="On Hold"),"",MAX(0,MIN(1,(A244-INDEX(Project_Register!$G$6:$G$40,MATCH(B244,Project_Register!$A$6:$A$40,0)))/(INDEX(Project_Register!$H$6:$H$40,MATCH(B244,Project_Register!$A$6:$A$40,0))-INDEX(Project_Register!$G$6:$G$40,MATCH(B244,Project_Register!$A$6:$A$40,0))))))</f>
        <v/>
      </c>
      <c r="L244" s="40" t="str">
        <f aca="false">IF(OR(B244="",D244="",T244="On Hold"),"",ROUND((D244-K244)*100,0))</f>
        <v/>
      </c>
      <c r="M244" s="38" t="str">
        <f aca="false">IF(OR(B244="",F244=""),"",F244/INDEX(Project_Register!$I$6:$I$40,MATCH(B244,Project_Register!$A$6:$A$40,0)))</f>
        <v/>
      </c>
      <c r="N244" s="40" t="str">
        <f aca="false">IF(OR(B244="",G244="",T244="On Hold"),"",G244-INDEX(Project_Register!$H$6:$H$40,MATCH(B244,Project_Register!$A$6:$A$40,0)))</f>
        <v/>
      </c>
      <c r="O244" s="0" t="str">
        <f aca="false">IF(B244="","",IF(D244="","No update",IF(AND(T244&lt;&gt;"Active",D244&lt;1),T244,IF(D244&gt;=1,"Complete",IF(OR(L244&lt;=SV_Red,M244&gt;Cost_Red,N244&gt;Slip_Red),"Red",IF(OR(L244&lt;=SV_Amber,M244&gt;Cost_Amber,N244&gt;Slip_Amber),"Amber","Green"))))))</f>
        <v/>
      </c>
      <c r="P244" s="0" t="str">
        <f aca="false">IF(AND(H244="Green",OR(O244="Amber",O244="Red")),"Watermelon","")</f>
        <v/>
      </c>
      <c r="Q244" s="0" t="str">
        <f aca="false">IF(B244="","",IF(J244="","Missing",IF(J244&gt;A244+UpdateDue,"Late","On time")))</f>
        <v/>
      </c>
      <c r="R244" s="0" t="str">
        <f aca="false">IF(OR(B244="",D244=""),"",IF(COUNTIFS($B$6:$B$400,B244,$A$6:$A$400,EOMONTH(A244,-1))=0,"",IF(D244&lt;SUMIFS($D$6:$D$400,$B$6:$B$400,B244,$A$6:$A$400,EOMONTH(A244,-1)),"Dropped","")))</f>
        <v/>
      </c>
      <c r="S244" s="41" t="str">
        <f aca="false">IF(B244="","",B244&amp;"|"&amp;(YEAR(A244)*100+MONTH(A244)))</f>
        <v/>
      </c>
    </row>
    <row r="245" customFormat="false" ht="15" hidden="false" customHeight="false" outlineLevel="0" collapsed="false">
      <c r="A245" s="37"/>
      <c r="C245" s="0" t="str">
        <f aca="false">IF(B245="","",IFERROR(INDEX(Project_Register!$B$6:$B$40,MATCH(B245,Project_Register!$A$6:$A$40,0)),"Unknown ID"))</f>
        <v/>
      </c>
      <c r="D245" s="38"/>
      <c r="E245" s="24"/>
      <c r="F245" s="24"/>
      <c r="G245" s="39"/>
      <c r="J245" s="39"/>
      <c r="K245" s="38" t="str">
        <f aca="false">IF(OR(B245="",T245="On Hold"),"",MAX(0,MIN(1,(A245-INDEX(Project_Register!$G$6:$G$40,MATCH(B245,Project_Register!$A$6:$A$40,0)))/(INDEX(Project_Register!$H$6:$H$40,MATCH(B245,Project_Register!$A$6:$A$40,0))-INDEX(Project_Register!$G$6:$G$40,MATCH(B245,Project_Register!$A$6:$A$40,0))))))</f>
        <v/>
      </c>
      <c r="L245" s="40" t="str">
        <f aca="false">IF(OR(B245="",D245="",T245="On Hold"),"",ROUND((D245-K245)*100,0))</f>
        <v/>
      </c>
      <c r="M245" s="38" t="str">
        <f aca="false">IF(OR(B245="",F245=""),"",F245/INDEX(Project_Register!$I$6:$I$40,MATCH(B245,Project_Register!$A$6:$A$40,0)))</f>
        <v/>
      </c>
      <c r="N245" s="40" t="str">
        <f aca="false">IF(OR(B245="",G245="",T245="On Hold"),"",G245-INDEX(Project_Register!$H$6:$H$40,MATCH(B245,Project_Register!$A$6:$A$40,0)))</f>
        <v/>
      </c>
      <c r="O245" s="0" t="str">
        <f aca="false">IF(B245="","",IF(D245="","No update",IF(AND(T245&lt;&gt;"Active",D245&lt;1),T245,IF(D245&gt;=1,"Complete",IF(OR(L245&lt;=SV_Red,M245&gt;Cost_Red,N245&gt;Slip_Red),"Red",IF(OR(L245&lt;=SV_Amber,M245&gt;Cost_Amber,N245&gt;Slip_Amber),"Amber","Green"))))))</f>
        <v/>
      </c>
      <c r="P245" s="0" t="str">
        <f aca="false">IF(AND(H245="Green",OR(O245="Amber",O245="Red")),"Watermelon","")</f>
        <v/>
      </c>
      <c r="Q245" s="0" t="str">
        <f aca="false">IF(B245="","",IF(J245="","Missing",IF(J245&gt;A245+UpdateDue,"Late","On time")))</f>
        <v/>
      </c>
      <c r="R245" s="0" t="str">
        <f aca="false">IF(OR(B245="",D245=""),"",IF(COUNTIFS($B$6:$B$400,B245,$A$6:$A$400,EOMONTH(A245,-1))=0,"",IF(D245&lt;SUMIFS($D$6:$D$400,$B$6:$B$400,B245,$A$6:$A$400,EOMONTH(A245,-1)),"Dropped","")))</f>
        <v/>
      </c>
      <c r="S245" s="41" t="str">
        <f aca="false">IF(B245="","",B245&amp;"|"&amp;(YEAR(A245)*100+MONTH(A245)))</f>
        <v/>
      </c>
    </row>
    <row r="246" customFormat="false" ht="15" hidden="false" customHeight="false" outlineLevel="0" collapsed="false">
      <c r="A246" s="37"/>
      <c r="C246" s="0" t="str">
        <f aca="false">IF(B246="","",IFERROR(INDEX(Project_Register!$B$6:$B$40,MATCH(B246,Project_Register!$A$6:$A$40,0)),"Unknown ID"))</f>
        <v/>
      </c>
      <c r="D246" s="38"/>
      <c r="E246" s="24"/>
      <c r="F246" s="24"/>
      <c r="G246" s="39"/>
      <c r="J246" s="39"/>
      <c r="K246" s="38" t="str">
        <f aca="false">IF(OR(B246="",T246="On Hold"),"",MAX(0,MIN(1,(A246-INDEX(Project_Register!$G$6:$G$40,MATCH(B246,Project_Register!$A$6:$A$40,0)))/(INDEX(Project_Register!$H$6:$H$40,MATCH(B246,Project_Register!$A$6:$A$40,0))-INDEX(Project_Register!$G$6:$G$40,MATCH(B246,Project_Register!$A$6:$A$40,0))))))</f>
        <v/>
      </c>
      <c r="L246" s="40" t="str">
        <f aca="false">IF(OR(B246="",D246="",T246="On Hold"),"",ROUND((D246-K246)*100,0))</f>
        <v/>
      </c>
      <c r="M246" s="38" t="str">
        <f aca="false">IF(OR(B246="",F246=""),"",F246/INDEX(Project_Register!$I$6:$I$40,MATCH(B246,Project_Register!$A$6:$A$40,0)))</f>
        <v/>
      </c>
      <c r="N246" s="40" t="str">
        <f aca="false">IF(OR(B246="",G246="",T246="On Hold"),"",G246-INDEX(Project_Register!$H$6:$H$40,MATCH(B246,Project_Register!$A$6:$A$40,0)))</f>
        <v/>
      </c>
      <c r="O246" s="0" t="str">
        <f aca="false">IF(B246="","",IF(D246="","No update",IF(AND(T246&lt;&gt;"Active",D246&lt;1),T246,IF(D246&gt;=1,"Complete",IF(OR(L246&lt;=SV_Red,M246&gt;Cost_Red,N246&gt;Slip_Red),"Red",IF(OR(L246&lt;=SV_Amber,M246&gt;Cost_Amber,N246&gt;Slip_Amber),"Amber","Green"))))))</f>
        <v/>
      </c>
      <c r="P246" s="0" t="str">
        <f aca="false">IF(AND(H246="Green",OR(O246="Amber",O246="Red")),"Watermelon","")</f>
        <v/>
      </c>
      <c r="Q246" s="0" t="str">
        <f aca="false">IF(B246="","",IF(J246="","Missing",IF(J246&gt;A246+UpdateDue,"Late","On time")))</f>
        <v/>
      </c>
      <c r="R246" s="0" t="str">
        <f aca="false">IF(OR(B246="",D246=""),"",IF(COUNTIFS($B$6:$B$400,B246,$A$6:$A$400,EOMONTH(A246,-1))=0,"",IF(D246&lt;SUMIFS($D$6:$D$400,$B$6:$B$400,B246,$A$6:$A$400,EOMONTH(A246,-1)),"Dropped","")))</f>
        <v/>
      </c>
      <c r="S246" s="41" t="str">
        <f aca="false">IF(B246="","",B246&amp;"|"&amp;(YEAR(A246)*100+MONTH(A246)))</f>
        <v/>
      </c>
    </row>
    <row r="247" customFormat="false" ht="15" hidden="false" customHeight="false" outlineLevel="0" collapsed="false">
      <c r="A247" s="37"/>
      <c r="C247" s="0" t="str">
        <f aca="false">IF(B247="","",IFERROR(INDEX(Project_Register!$B$6:$B$40,MATCH(B247,Project_Register!$A$6:$A$40,0)),"Unknown ID"))</f>
        <v/>
      </c>
      <c r="D247" s="38"/>
      <c r="E247" s="24"/>
      <c r="F247" s="24"/>
      <c r="G247" s="39"/>
      <c r="J247" s="39"/>
      <c r="K247" s="38" t="str">
        <f aca="false">IF(OR(B247="",T247="On Hold"),"",MAX(0,MIN(1,(A247-INDEX(Project_Register!$G$6:$G$40,MATCH(B247,Project_Register!$A$6:$A$40,0)))/(INDEX(Project_Register!$H$6:$H$40,MATCH(B247,Project_Register!$A$6:$A$40,0))-INDEX(Project_Register!$G$6:$G$40,MATCH(B247,Project_Register!$A$6:$A$40,0))))))</f>
        <v/>
      </c>
      <c r="L247" s="40" t="str">
        <f aca="false">IF(OR(B247="",D247="",T247="On Hold"),"",ROUND((D247-K247)*100,0))</f>
        <v/>
      </c>
      <c r="M247" s="38" t="str">
        <f aca="false">IF(OR(B247="",F247=""),"",F247/INDEX(Project_Register!$I$6:$I$40,MATCH(B247,Project_Register!$A$6:$A$40,0)))</f>
        <v/>
      </c>
      <c r="N247" s="40" t="str">
        <f aca="false">IF(OR(B247="",G247="",T247="On Hold"),"",G247-INDEX(Project_Register!$H$6:$H$40,MATCH(B247,Project_Register!$A$6:$A$40,0)))</f>
        <v/>
      </c>
      <c r="O247" s="0" t="str">
        <f aca="false">IF(B247="","",IF(D247="","No update",IF(AND(T247&lt;&gt;"Active",D247&lt;1),T247,IF(D247&gt;=1,"Complete",IF(OR(L247&lt;=SV_Red,M247&gt;Cost_Red,N247&gt;Slip_Red),"Red",IF(OR(L247&lt;=SV_Amber,M247&gt;Cost_Amber,N247&gt;Slip_Amber),"Amber","Green"))))))</f>
        <v/>
      </c>
      <c r="P247" s="0" t="str">
        <f aca="false">IF(AND(H247="Green",OR(O247="Amber",O247="Red")),"Watermelon","")</f>
        <v/>
      </c>
      <c r="Q247" s="0" t="str">
        <f aca="false">IF(B247="","",IF(J247="","Missing",IF(J247&gt;A247+UpdateDue,"Late","On time")))</f>
        <v/>
      </c>
      <c r="R247" s="0" t="str">
        <f aca="false">IF(OR(B247="",D247=""),"",IF(COUNTIFS($B$6:$B$400,B247,$A$6:$A$400,EOMONTH(A247,-1))=0,"",IF(D247&lt;SUMIFS($D$6:$D$400,$B$6:$B$400,B247,$A$6:$A$400,EOMONTH(A247,-1)),"Dropped","")))</f>
        <v/>
      </c>
      <c r="S247" s="41" t="str">
        <f aca="false">IF(B247="","",B247&amp;"|"&amp;(YEAR(A247)*100+MONTH(A247)))</f>
        <v/>
      </c>
    </row>
    <row r="248" customFormat="false" ht="15" hidden="false" customHeight="false" outlineLevel="0" collapsed="false">
      <c r="A248" s="37"/>
      <c r="C248" s="0" t="str">
        <f aca="false">IF(B248="","",IFERROR(INDEX(Project_Register!$B$6:$B$40,MATCH(B248,Project_Register!$A$6:$A$40,0)),"Unknown ID"))</f>
        <v/>
      </c>
      <c r="D248" s="38"/>
      <c r="E248" s="24"/>
      <c r="F248" s="24"/>
      <c r="G248" s="39"/>
      <c r="J248" s="39"/>
      <c r="K248" s="38" t="str">
        <f aca="false">IF(OR(B248="",T248="On Hold"),"",MAX(0,MIN(1,(A248-INDEX(Project_Register!$G$6:$G$40,MATCH(B248,Project_Register!$A$6:$A$40,0)))/(INDEX(Project_Register!$H$6:$H$40,MATCH(B248,Project_Register!$A$6:$A$40,0))-INDEX(Project_Register!$G$6:$G$40,MATCH(B248,Project_Register!$A$6:$A$40,0))))))</f>
        <v/>
      </c>
      <c r="L248" s="40" t="str">
        <f aca="false">IF(OR(B248="",D248="",T248="On Hold"),"",ROUND((D248-K248)*100,0))</f>
        <v/>
      </c>
      <c r="M248" s="38" t="str">
        <f aca="false">IF(OR(B248="",F248=""),"",F248/INDEX(Project_Register!$I$6:$I$40,MATCH(B248,Project_Register!$A$6:$A$40,0)))</f>
        <v/>
      </c>
      <c r="N248" s="40" t="str">
        <f aca="false">IF(OR(B248="",G248="",T248="On Hold"),"",G248-INDEX(Project_Register!$H$6:$H$40,MATCH(B248,Project_Register!$A$6:$A$40,0)))</f>
        <v/>
      </c>
      <c r="O248" s="0" t="str">
        <f aca="false">IF(B248="","",IF(D248="","No update",IF(AND(T248&lt;&gt;"Active",D248&lt;1),T248,IF(D248&gt;=1,"Complete",IF(OR(L248&lt;=SV_Red,M248&gt;Cost_Red,N248&gt;Slip_Red),"Red",IF(OR(L248&lt;=SV_Amber,M248&gt;Cost_Amber,N248&gt;Slip_Amber),"Amber","Green"))))))</f>
        <v/>
      </c>
      <c r="P248" s="0" t="str">
        <f aca="false">IF(AND(H248="Green",OR(O248="Amber",O248="Red")),"Watermelon","")</f>
        <v/>
      </c>
      <c r="Q248" s="0" t="str">
        <f aca="false">IF(B248="","",IF(J248="","Missing",IF(J248&gt;A248+UpdateDue,"Late","On time")))</f>
        <v/>
      </c>
      <c r="R248" s="0" t="str">
        <f aca="false">IF(OR(B248="",D248=""),"",IF(COUNTIFS($B$6:$B$400,B248,$A$6:$A$400,EOMONTH(A248,-1))=0,"",IF(D248&lt;SUMIFS($D$6:$D$400,$B$6:$B$400,B248,$A$6:$A$400,EOMONTH(A248,-1)),"Dropped","")))</f>
        <v/>
      </c>
      <c r="S248" s="41" t="str">
        <f aca="false">IF(B248="","",B248&amp;"|"&amp;(YEAR(A248)*100+MONTH(A248)))</f>
        <v/>
      </c>
    </row>
    <row r="249" customFormat="false" ht="15" hidden="false" customHeight="false" outlineLevel="0" collapsed="false">
      <c r="A249" s="37"/>
      <c r="C249" s="0" t="str">
        <f aca="false">IF(B249="","",IFERROR(INDEX(Project_Register!$B$6:$B$40,MATCH(B249,Project_Register!$A$6:$A$40,0)),"Unknown ID"))</f>
        <v/>
      </c>
      <c r="D249" s="38"/>
      <c r="E249" s="24"/>
      <c r="F249" s="24"/>
      <c r="G249" s="39"/>
      <c r="J249" s="39"/>
      <c r="K249" s="38" t="str">
        <f aca="false">IF(OR(B249="",T249="On Hold"),"",MAX(0,MIN(1,(A249-INDEX(Project_Register!$G$6:$G$40,MATCH(B249,Project_Register!$A$6:$A$40,0)))/(INDEX(Project_Register!$H$6:$H$40,MATCH(B249,Project_Register!$A$6:$A$40,0))-INDEX(Project_Register!$G$6:$G$40,MATCH(B249,Project_Register!$A$6:$A$40,0))))))</f>
        <v/>
      </c>
      <c r="L249" s="40" t="str">
        <f aca="false">IF(OR(B249="",D249="",T249="On Hold"),"",ROUND((D249-K249)*100,0))</f>
        <v/>
      </c>
      <c r="M249" s="38" t="str">
        <f aca="false">IF(OR(B249="",F249=""),"",F249/INDEX(Project_Register!$I$6:$I$40,MATCH(B249,Project_Register!$A$6:$A$40,0)))</f>
        <v/>
      </c>
      <c r="N249" s="40" t="str">
        <f aca="false">IF(OR(B249="",G249="",T249="On Hold"),"",G249-INDEX(Project_Register!$H$6:$H$40,MATCH(B249,Project_Register!$A$6:$A$40,0)))</f>
        <v/>
      </c>
      <c r="O249" s="0" t="str">
        <f aca="false">IF(B249="","",IF(D249="","No update",IF(AND(T249&lt;&gt;"Active",D249&lt;1),T249,IF(D249&gt;=1,"Complete",IF(OR(L249&lt;=SV_Red,M249&gt;Cost_Red,N249&gt;Slip_Red),"Red",IF(OR(L249&lt;=SV_Amber,M249&gt;Cost_Amber,N249&gt;Slip_Amber),"Amber","Green"))))))</f>
        <v/>
      </c>
      <c r="P249" s="0" t="str">
        <f aca="false">IF(AND(H249="Green",OR(O249="Amber",O249="Red")),"Watermelon","")</f>
        <v/>
      </c>
      <c r="Q249" s="0" t="str">
        <f aca="false">IF(B249="","",IF(J249="","Missing",IF(J249&gt;A249+UpdateDue,"Late","On time")))</f>
        <v/>
      </c>
      <c r="R249" s="0" t="str">
        <f aca="false">IF(OR(B249="",D249=""),"",IF(COUNTIFS($B$6:$B$400,B249,$A$6:$A$400,EOMONTH(A249,-1))=0,"",IF(D249&lt;SUMIFS($D$6:$D$400,$B$6:$B$400,B249,$A$6:$A$400,EOMONTH(A249,-1)),"Dropped","")))</f>
        <v/>
      </c>
      <c r="S249" s="41" t="str">
        <f aca="false">IF(B249="","",B249&amp;"|"&amp;(YEAR(A249)*100+MONTH(A249)))</f>
        <v/>
      </c>
    </row>
    <row r="250" customFormat="false" ht="15" hidden="false" customHeight="false" outlineLevel="0" collapsed="false">
      <c r="A250" s="37"/>
      <c r="C250" s="0" t="str">
        <f aca="false">IF(B250="","",IFERROR(INDEX(Project_Register!$B$6:$B$40,MATCH(B250,Project_Register!$A$6:$A$40,0)),"Unknown ID"))</f>
        <v/>
      </c>
      <c r="D250" s="38"/>
      <c r="E250" s="24"/>
      <c r="F250" s="24"/>
      <c r="G250" s="39"/>
      <c r="J250" s="39"/>
      <c r="K250" s="38" t="str">
        <f aca="false">IF(OR(B250="",T250="On Hold"),"",MAX(0,MIN(1,(A250-INDEX(Project_Register!$G$6:$G$40,MATCH(B250,Project_Register!$A$6:$A$40,0)))/(INDEX(Project_Register!$H$6:$H$40,MATCH(B250,Project_Register!$A$6:$A$40,0))-INDEX(Project_Register!$G$6:$G$40,MATCH(B250,Project_Register!$A$6:$A$40,0))))))</f>
        <v/>
      </c>
      <c r="L250" s="40" t="str">
        <f aca="false">IF(OR(B250="",D250="",T250="On Hold"),"",ROUND((D250-K250)*100,0))</f>
        <v/>
      </c>
      <c r="M250" s="38" t="str">
        <f aca="false">IF(OR(B250="",F250=""),"",F250/INDEX(Project_Register!$I$6:$I$40,MATCH(B250,Project_Register!$A$6:$A$40,0)))</f>
        <v/>
      </c>
      <c r="N250" s="40" t="str">
        <f aca="false">IF(OR(B250="",G250="",T250="On Hold"),"",G250-INDEX(Project_Register!$H$6:$H$40,MATCH(B250,Project_Register!$A$6:$A$40,0)))</f>
        <v/>
      </c>
      <c r="O250" s="0" t="str">
        <f aca="false">IF(B250="","",IF(D250="","No update",IF(AND(T250&lt;&gt;"Active",D250&lt;1),T250,IF(D250&gt;=1,"Complete",IF(OR(L250&lt;=SV_Red,M250&gt;Cost_Red,N250&gt;Slip_Red),"Red",IF(OR(L250&lt;=SV_Amber,M250&gt;Cost_Amber,N250&gt;Slip_Amber),"Amber","Green"))))))</f>
        <v/>
      </c>
      <c r="P250" s="0" t="str">
        <f aca="false">IF(AND(H250="Green",OR(O250="Amber",O250="Red")),"Watermelon","")</f>
        <v/>
      </c>
      <c r="Q250" s="0" t="str">
        <f aca="false">IF(B250="","",IF(J250="","Missing",IF(J250&gt;A250+UpdateDue,"Late","On time")))</f>
        <v/>
      </c>
      <c r="R250" s="0" t="str">
        <f aca="false">IF(OR(B250="",D250=""),"",IF(COUNTIFS($B$6:$B$400,B250,$A$6:$A$400,EOMONTH(A250,-1))=0,"",IF(D250&lt;SUMIFS($D$6:$D$400,$B$6:$B$400,B250,$A$6:$A$400,EOMONTH(A250,-1)),"Dropped","")))</f>
        <v/>
      </c>
      <c r="S250" s="41" t="str">
        <f aca="false">IF(B250="","",B250&amp;"|"&amp;(YEAR(A250)*100+MONTH(A250)))</f>
        <v/>
      </c>
    </row>
    <row r="251" customFormat="false" ht="15" hidden="false" customHeight="false" outlineLevel="0" collapsed="false">
      <c r="A251" s="37"/>
      <c r="C251" s="0" t="str">
        <f aca="false">IF(B251="","",IFERROR(INDEX(Project_Register!$B$6:$B$40,MATCH(B251,Project_Register!$A$6:$A$40,0)),"Unknown ID"))</f>
        <v/>
      </c>
      <c r="D251" s="38"/>
      <c r="E251" s="24"/>
      <c r="F251" s="24"/>
      <c r="G251" s="39"/>
      <c r="J251" s="39"/>
      <c r="K251" s="38" t="str">
        <f aca="false">IF(OR(B251="",T251="On Hold"),"",MAX(0,MIN(1,(A251-INDEX(Project_Register!$G$6:$G$40,MATCH(B251,Project_Register!$A$6:$A$40,0)))/(INDEX(Project_Register!$H$6:$H$40,MATCH(B251,Project_Register!$A$6:$A$40,0))-INDEX(Project_Register!$G$6:$G$40,MATCH(B251,Project_Register!$A$6:$A$40,0))))))</f>
        <v/>
      </c>
      <c r="L251" s="40" t="str">
        <f aca="false">IF(OR(B251="",D251="",T251="On Hold"),"",ROUND((D251-K251)*100,0))</f>
        <v/>
      </c>
      <c r="M251" s="38" t="str">
        <f aca="false">IF(OR(B251="",F251=""),"",F251/INDEX(Project_Register!$I$6:$I$40,MATCH(B251,Project_Register!$A$6:$A$40,0)))</f>
        <v/>
      </c>
      <c r="N251" s="40" t="str">
        <f aca="false">IF(OR(B251="",G251="",T251="On Hold"),"",G251-INDEX(Project_Register!$H$6:$H$40,MATCH(B251,Project_Register!$A$6:$A$40,0)))</f>
        <v/>
      </c>
      <c r="O251" s="0" t="str">
        <f aca="false">IF(B251="","",IF(D251="","No update",IF(AND(T251&lt;&gt;"Active",D251&lt;1),T251,IF(D251&gt;=1,"Complete",IF(OR(L251&lt;=SV_Red,M251&gt;Cost_Red,N251&gt;Slip_Red),"Red",IF(OR(L251&lt;=SV_Amber,M251&gt;Cost_Amber,N251&gt;Slip_Amber),"Amber","Green"))))))</f>
        <v/>
      </c>
      <c r="P251" s="0" t="str">
        <f aca="false">IF(AND(H251="Green",OR(O251="Amber",O251="Red")),"Watermelon","")</f>
        <v/>
      </c>
      <c r="Q251" s="0" t="str">
        <f aca="false">IF(B251="","",IF(J251="","Missing",IF(J251&gt;A251+UpdateDue,"Late","On time")))</f>
        <v/>
      </c>
      <c r="R251" s="0" t="str">
        <f aca="false">IF(OR(B251="",D251=""),"",IF(COUNTIFS($B$6:$B$400,B251,$A$6:$A$400,EOMONTH(A251,-1))=0,"",IF(D251&lt;SUMIFS($D$6:$D$400,$B$6:$B$400,B251,$A$6:$A$400,EOMONTH(A251,-1)),"Dropped","")))</f>
        <v/>
      </c>
      <c r="S251" s="41" t="str">
        <f aca="false">IF(B251="","",B251&amp;"|"&amp;(YEAR(A251)*100+MONTH(A251)))</f>
        <v/>
      </c>
    </row>
    <row r="252" customFormat="false" ht="15" hidden="false" customHeight="false" outlineLevel="0" collapsed="false">
      <c r="A252" s="37"/>
      <c r="C252" s="0" t="str">
        <f aca="false">IF(B252="","",IFERROR(INDEX(Project_Register!$B$6:$B$40,MATCH(B252,Project_Register!$A$6:$A$40,0)),"Unknown ID"))</f>
        <v/>
      </c>
      <c r="D252" s="38"/>
      <c r="E252" s="24"/>
      <c r="F252" s="24"/>
      <c r="G252" s="39"/>
      <c r="J252" s="39"/>
      <c r="K252" s="38" t="str">
        <f aca="false">IF(OR(B252="",T252="On Hold"),"",MAX(0,MIN(1,(A252-INDEX(Project_Register!$G$6:$G$40,MATCH(B252,Project_Register!$A$6:$A$40,0)))/(INDEX(Project_Register!$H$6:$H$40,MATCH(B252,Project_Register!$A$6:$A$40,0))-INDEX(Project_Register!$G$6:$G$40,MATCH(B252,Project_Register!$A$6:$A$40,0))))))</f>
        <v/>
      </c>
      <c r="L252" s="40" t="str">
        <f aca="false">IF(OR(B252="",D252="",T252="On Hold"),"",ROUND((D252-K252)*100,0))</f>
        <v/>
      </c>
      <c r="M252" s="38" t="str">
        <f aca="false">IF(OR(B252="",F252=""),"",F252/INDEX(Project_Register!$I$6:$I$40,MATCH(B252,Project_Register!$A$6:$A$40,0)))</f>
        <v/>
      </c>
      <c r="N252" s="40" t="str">
        <f aca="false">IF(OR(B252="",G252="",T252="On Hold"),"",G252-INDEX(Project_Register!$H$6:$H$40,MATCH(B252,Project_Register!$A$6:$A$40,0)))</f>
        <v/>
      </c>
      <c r="O252" s="0" t="str">
        <f aca="false">IF(B252="","",IF(D252="","No update",IF(AND(T252&lt;&gt;"Active",D252&lt;1),T252,IF(D252&gt;=1,"Complete",IF(OR(L252&lt;=SV_Red,M252&gt;Cost_Red,N252&gt;Slip_Red),"Red",IF(OR(L252&lt;=SV_Amber,M252&gt;Cost_Amber,N252&gt;Slip_Amber),"Amber","Green"))))))</f>
        <v/>
      </c>
      <c r="P252" s="0" t="str">
        <f aca="false">IF(AND(H252="Green",OR(O252="Amber",O252="Red")),"Watermelon","")</f>
        <v/>
      </c>
      <c r="Q252" s="0" t="str">
        <f aca="false">IF(B252="","",IF(J252="","Missing",IF(J252&gt;A252+UpdateDue,"Late","On time")))</f>
        <v/>
      </c>
      <c r="R252" s="0" t="str">
        <f aca="false">IF(OR(B252="",D252=""),"",IF(COUNTIFS($B$6:$B$400,B252,$A$6:$A$400,EOMONTH(A252,-1))=0,"",IF(D252&lt;SUMIFS($D$6:$D$400,$B$6:$B$400,B252,$A$6:$A$400,EOMONTH(A252,-1)),"Dropped","")))</f>
        <v/>
      </c>
      <c r="S252" s="41" t="str">
        <f aca="false">IF(B252="","",B252&amp;"|"&amp;(YEAR(A252)*100+MONTH(A252)))</f>
        <v/>
      </c>
    </row>
    <row r="253" customFormat="false" ht="15" hidden="false" customHeight="false" outlineLevel="0" collapsed="false">
      <c r="A253" s="37"/>
      <c r="C253" s="0" t="str">
        <f aca="false">IF(B253="","",IFERROR(INDEX(Project_Register!$B$6:$B$40,MATCH(B253,Project_Register!$A$6:$A$40,0)),"Unknown ID"))</f>
        <v/>
      </c>
      <c r="D253" s="38"/>
      <c r="E253" s="24"/>
      <c r="F253" s="24"/>
      <c r="G253" s="39"/>
      <c r="J253" s="39"/>
      <c r="K253" s="38" t="str">
        <f aca="false">IF(OR(B253="",T253="On Hold"),"",MAX(0,MIN(1,(A253-INDEX(Project_Register!$G$6:$G$40,MATCH(B253,Project_Register!$A$6:$A$40,0)))/(INDEX(Project_Register!$H$6:$H$40,MATCH(B253,Project_Register!$A$6:$A$40,0))-INDEX(Project_Register!$G$6:$G$40,MATCH(B253,Project_Register!$A$6:$A$40,0))))))</f>
        <v/>
      </c>
      <c r="L253" s="40" t="str">
        <f aca="false">IF(OR(B253="",D253="",T253="On Hold"),"",ROUND((D253-K253)*100,0))</f>
        <v/>
      </c>
      <c r="M253" s="38" t="str">
        <f aca="false">IF(OR(B253="",F253=""),"",F253/INDEX(Project_Register!$I$6:$I$40,MATCH(B253,Project_Register!$A$6:$A$40,0)))</f>
        <v/>
      </c>
      <c r="N253" s="40" t="str">
        <f aca="false">IF(OR(B253="",G253="",T253="On Hold"),"",G253-INDEX(Project_Register!$H$6:$H$40,MATCH(B253,Project_Register!$A$6:$A$40,0)))</f>
        <v/>
      </c>
      <c r="O253" s="0" t="str">
        <f aca="false">IF(B253="","",IF(D253="","No update",IF(AND(T253&lt;&gt;"Active",D253&lt;1),T253,IF(D253&gt;=1,"Complete",IF(OR(L253&lt;=SV_Red,M253&gt;Cost_Red,N253&gt;Slip_Red),"Red",IF(OR(L253&lt;=SV_Amber,M253&gt;Cost_Amber,N253&gt;Slip_Amber),"Amber","Green"))))))</f>
        <v/>
      </c>
      <c r="P253" s="0" t="str">
        <f aca="false">IF(AND(H253="Green",OR(O253="Amber",O253="Red")),"Watermelon","")</f>
        <v/>
      </c>
      <c r="Q253" s="0" t="str">
        <f aca="false">IF(B253="","",IF(J253="","Missing",IF(J253&gt;A253+UpdateDue,"Late","On time")))</f>
        <v/>
      </c>
      <c r="R253" s="0" t="str">
        <f aca="false">IF(OR(B253="",D253=""),"",IF(COUNTIFS($B$6:$B$400,B253,$A$6:$A$400,EOMONTH(A253,-1))=0,"",IF(D253&lt;SUMIFS($D$6:$D$400,$B$6:$B$400,B253,$A$6:$A$400,EOMONTH(A253,-1)),"Dropped","")))</f>
        <v/>
      </c>
      <c r="S253" s="41" t="str">
        <f aca="false">IF(B253="","",B253&amp;"|"&amp;(YEAR(A253)*100+MONTH(A253)))</f>
        <v/>
      </c>
    </row>
    <row r="254" customFormat="false" ht="15" hidden="false" customHeight="false" outlineLevel="0" collapsed="false">
      <c r="A254" s="37"/>
      <c r="C254" s="0" t="str">
        <f aca="false">IF(B254="","",IFERROR(INDEX(Project_Register!$B$6:$B$40,MATCH(B254,Project_Register!$A$6:$A$40,0)),"Unknown ID"))</f>
        <v/>
      </c>
      <c r="D254" s="38"/>
      <c r="E254" s="24"/>
      <c r="F254" s="24"/>
      <c r="G254" s="39"/>
      <c r="J254" s="39"/>
      <c r="K254" s="38" t="str">
        <f aca="false">IF(OR(B254="",T254="On Hold"),"",MAX(0,MIN(1,(A254-INDEX(Project_Register!$G$6:$G$40,MATCH(B254,Project_Register!$A$6:$A$40,0)))/(INDEX(Project_Register!$H$6:$H$40,MATCH(B254,Project_Register!$A$6:$A$40,0))-INDEX(Project_Register!$G$6:$G$40,MATCH(B254,Project_Register!$A$6:$A$40,0))))))</f>
        <v/>
      </c>
      <c r="L254" s="40" t="str">
        <f aca="false">IF(OR(B254="",D254="",T254="On Hold"),"",ROUND((D254-K254)*100,0))</f>
        <v/>
      </c>
      <c r="M254" s="38" t="str">
        <f aca="false">IF(OR(B254="",F254=""),"",F254/INDEX(Project_Register!$I$6:$I$40,MATCH(B254,Project_Register!$A$6:$A$40,0)))</f>
        <v/>
      </c>
      <c r="N254" s="40" t="str">
        <f aca="false">IF(OR(B254="",G254="",T254="On Hold"),"",G254-INDEX(Project_Register!$H$6:$H$40,MATCH(B254,Project_Register!$A$6:$A$40,0)))</f>
        <v/>
      </c>
      <c r="O254" s="0" t="str">
        <f aca="false">IF(B254="","",IF(D254="","No update",IF(AND(T254&lt;&gt;"Active",D254&lt;1),T254,IF(D254&gt;=1,"Complete",IF(OR(L254&lt;=SV_Red,M254&gt;Cost_Red,N254&gt;Slip_Red),"Red",IF(OR(L254&lt;=SV_Amber,M254&gt;Cost_Amber,N254&gt;Slip_Amber),"Amber","Green"))))))</f>
        <v/>
      </c>
      <c r="P254" s="0" t="str">
        <f aca="false">IF(AND(H254="Green",OR(O254="Amber",O254="Red")),"Watermelon","")</f>
        <v/>
      </c>
      <c r="Q254" s="0" t="str">
        <f aca="false">IF(B254="","",IF(J254="","Missing",IF(J254&gt;A254+UpdateDue,"Late","On time")))</f>
        <v/>
      </c>
      <c r="R254" s="0" t="str">
        <f aca="false">IF(OR(B254="",D254=""),"",IF(COUNTIFS($B$6:$B$400,B254,$A$6:$A$400,EOMONTH(A254,-1))=0,"",IF(D254&lt;SUMIFS($D$6:$D$400,$B$6:$B$400,B254,$A$6:$A$400,EOMONTH(A254,-1)),"Dropped","")))</f>
        <v/>
      </c>
      <c r="S254" s="41" t="str">
        <f aca="false">IF(B254="","",B254&amp;"|"&amp;(YEAR(A254)*100+MONTH(A254)))</f>
        <v/>
      </c>
    </row>
    <row r="255" customFormat="false" ht="15" hidden="false" customHeight="false" outlineLevel="0" collapsed="false">
      <c r="A255" s="37"/>
      <c r="C255" s="0" t="str">
        <f aca="false">IF(B255="","",IFERROR(INDEX(Project_Register!$B$6:$B$40,MATCH(B255,Project_Register!$A$6:$A$40,0)),"Unknown ID"))</f>
        <v/>
      </c>
      <c r="D255" s="38"/>
      <c r="E255" s="24"/>
      <c r="F255" s="24"/>
      <c r="G255" s="39"/>
      <c r="J255" s="39"/>
      <c r="K255" s="38" t="str">
        <f aca="false">IF(OR(B255="",T255="On Hold"),"",MAX(0,MIN(1,(A255-INDEX(Project_Register!$G$6:$G$40,MATCH(B255,Project_Register!$A$6:$A$40,0)))/(INDEX(Project_Register!$H$6:$H$40,MATCH(B255,Project_Register!$A$6:$A$40,0))-INDEX(Project_Register!$G$6:$G$40,MATCH(B255,Project_Register!$A$6:$A$40,0))))))</f>
        <v/>
      </c>
      <c r="L255" s="40" t="str">
        <f aca="false">IF(OR(B255="",D255="",T255="On Hold"),"",ROUND((D255-K255)*100,0))</f>
        <v/>
      </c>
      <c r="M255" s="38" t="str">
        <f aca="false">IF(OR(B255="",F255=""),"",F255/INDEX(Project_Register!$I$6:$I$40,MATCH(B255,Project_Register!$A$6:$A$40,0)))</f>
        <v/>
      </c>
      <c r="N255" s="40" t="str">
        <f aca="false">IF(OR(B255="",G255="",T255="On Hold"),"",G255-INDEX(Project_Register!$H$6:$H$40,MATCH(B255,Project_Register!$A$6:$A$40,0)))</f>
        <v/>
      </c>
      <c r="O255" s="0" t="str">
        <f aca="false">IF(B255="","",IF(D255="","No update",IF(AND(T255&lt;&gt;"Active",D255&lt;1),T255,IF(D255&gt;=1,"Complete",IF(OR(L255&lt;=SV_Red,M255&gt;Cost_Red,N255&gt;Slip_Red),"Red",IF(OR(L255&lt;=SV_Amber,M255&gt;Cost_Amber,N255&gt;Slip_Amber),"Amber","Green"))))))</f>
        <v/>
      </c>
      <c r="P255" s="0" t="str">
        <f aca="false">IF(AND(H255="Green",OR(O255="Amber",O255="Red")),"Watermelon","")</f>
        <v/>
      </c>
      <c r="Q255" s="0" t="str">
        <f aca="false">IF(B255="","",IF(J255="","Missing",IF(J255&gt;A255+UpdateDue,"Late","On time")))</f>
        <v/>
      </c>
      <c r="R255" s="0" t="str">
        <f aca="false">IF(OR(B255="",D255=""),"",IF(COUNTIFS($B$6:$B$400,B255,$A$6:$A$400,EOMONTH(A255,-1))=0,"",IF(D255&lt;SUMIFS($D$6:$D$400,$B$6:$B$400,B255,$A$6:$A$400,EOMONTH(A255,-1)),"Dropped","")))</f>
        <v/>
      </c>
      <c r="S255" s="41" t="str">
        <f aca="false">IF(B255="","",B255&amp;"|"&amp;(YEAR(A255)*100+MONTH(A255)))</f>
        <v/>
      </c>
    </row>
    <row r="256" customFormat="false" ht="15" hidden="false" customHeight="false" outlineLevel="0" collapsed="false">
      <c r="A256" s="37"/>
      <c r="C256" s="0" t="str">
        <f aca="false">IF(B256="","",IFERROR(INDEX(Project_Register!$B$6:$B$40,MATCH(B256,Project_Register!$A$6:$A$40,0)),"Unknown ID"))</f>
        <v/>
      </c>
      <c r="D256" s="38"/>
      <c r="E256" s="24"/>
      <c r="F256" s="24"/>
      <c r="G256" s="39"/>
      <c r="J256" s="39"/>
      <c r="K256" s="38" t="str">
        <f aca="false">IF(OR(B256="",T256="On Hold"),"",MAX(0,MIN(1,(A256-INDEX(Project_Register!$G$6:$G$40,MATCH(B256,Project_Register!$A$6:$A$40,0)))/(INDEX(Project_Register!$H$6:$H$40,MATCH(B256,Project_Register!$A$6:$A$40,0))-INDEX(Project_Register!$G$6:$G$40,MATCH(B256,Project_Register!$A$6:$A$40,0))))))</f>
        <v/>
      </c>
      <c r="L256" s="40" t="str">
        <f aca="false">IF(OR(B256="",D256="",T256="On Hold"),"",ROUND((D256-K256)*100,0))</f>
        <v/>
      </c>
      <c r="M256" s="38" t="str">
        <f aca="false">IF(OR(B256="",F256=""),"",F256/INDEX(Project_Register!$I$6:$I$40,MATCH(B256,Project_Register!$A$6:$A$40,0)))</f>
        <v/>
      </c>
      <c r="N256" s="40" t="str">
        <f aca="false">IF(OR(B256="",G256="",T256="On Hold"),"",G256-INDEX(Project_Register!$H$6:$H$40,MATCH(B256,Project_Register!$A$6:$A$40,0)))</f>
        <v/>
      </c>
      <c r="O256" s="0" t="str">
        <f aca="false">IF(B256="","",IF(D256="","No update",IF(AND(T256&lt;&gt;"Active",D256&lt;1),T256,IF(D256&gt;=1,"Complete",IF(OR(L256&lt;=SV_Red,M256&gt;Cost_Red,N256&gt;Slip_Red),"Red",IF(OR(L256&lt;=SV_Amber,M256&gt;Cost_Amber,N256&gt;Slip_Amber),"Amber","Green"))))))</f>
        <v/>
      </c>
      <c r="P256" s="0" t="str">
        <f aca="false">IF(AND(H256="Green",OR(O256="Amber",O256="Red")),"Watermelon","")</f>
        <v/>
      </c>
      <c r="Q256" s="0" t="str">
        <f aca="false">IF(B256="","",IF(J256="","Missing",IF(J256&gt;A256+UpdateDue,"Late","On time")))</f>
        <v/>
      </c>
      <c r="R256" s="0" t="str">
        <f aca="false">IF(OR(B256="",D256=""),"",IF(COUNTIFS($B$6:$B$400,B256,$A$6:$A$400,EOMONTH(A256,-1))=0,"",IF(D256&lt;SUMIFS($D$6:$D$400,$B$6:$B$400,B256,$A$6:$A$400,EOMONTH(A256,-1)),"Dropped","")))</f>
        <v/>
      </c>
      <c r="S256" s="41" t="str">
        <f aca="false">IF(B256="","",B256&amp;"|"&amp;(YEAR(A256)*100+MONTH(A256)))</f>
        <v/>
      </c>
    </row>
    <row r="257" customFormat="false" ht="15" hidden="false" customHeight="false" outlineLevel="0" collapsed="false">
      <c r="A257" s="37"/>
      <c r="C257" s="0" t="str">
        <f aca="false">IF(B257="","",IFERROR(INDEX(Project_Register!$B$6:$B$40,MATCH(B257,Project_Register!$A$6:$A$40,0)),"Unknown ID"))</f>
        <v/>
      </c>
      <c r="D257" s="38"/>
      <c r="E257" s="24"/>
      <c r="F257" s="24"/>
      <c r="G257" s="39"/>
      <c r="J257" s="39"/>
      <c r="K257" s="38" t="str">
        <f aca="false">IF(OR(B257="",T257="On Hold"),"",MAX(0,MIN(1,(A257-INDEX(Project_Register!$G$6:$G$40,MATCH(B257,Project_Register!$A$6:$A$40,0)))/(INDEX(Project_Register!$H$6:$H$40,MATCH(B257,Project_Register!$A$6:$A$40,0))-INDEX(Project_Register!$G$6:$G$40,MATCH(B257,Project_Register!$A$6:$A$40,0))))))</f>
        <v/>
      </c>
      <c r="L257" s="40" t="str">
        <f aca="false">IF(OR(B257="",D257="",T257="On Hold"),"",ROUND((D257-K257)*100,0))</f>
        <v/>
      </c>
      <c r="M257" s="38" t="str">
        <f aca="false">IF(OR(B257="",F257=""),"",F257/INDEX(Project_Register!$I$6:$I$40,MATCH(B257,Project_Register!$A$6:$A$40,0)))</f>
        <v/>
      </c>
      <c r="N257" s="40" t="str">
        <f aca="false">IF(OR(B257="",G257="",T257="On Hold"),"",G257-INDEX(Project_Register!$H$6:$H$40,MATCH(B257,Project_Register!$A$6:$A$40,0)))</f>
        <v/>
      </c>
      <c r="O257" s="0" t="str">
        <f aca="false">IF(B257="","",IF(D257="","No update",IF(AND(T257&lt;&gt;"Active",D257&lt;1),T257,IF(D257&gt;=1,"Complete",IF(OR(L257&lt;=SV_Red,M257&gt;Cost_Red,N257&gt;Slip_Red),"Red",IF(OR(L257&lt;=SV_Amber,M257&gt;Cost_Amber,N257&gt;Slip_Amber),"Amber","Green"))))))</f>
        <v/>
      </c>
      <c r="P257" s="0" t="str">
        <f aca="false">IF(AND(H257="Green",OR(O257="Amber",O257="Red")),"Watermelon","")</f>
        <v/>
      </c>
      <c r="Q257" s="0" t="str">
        <f aca="false">IF(B257="","",IF(J257="","Missing",IF(J257&gt;A257+UpdateDue,"Late","On time")))</f>
        <v/>
      </c>
      <c r="R257" s="0" t="str">
        <f aca="false">IF(OR(B257="",D257=""),"",IF(COUNTIFS($B$6:$B$400,B257,$A$6:$A$400,EOMONTH(A257,-1))=0,"",IF(D257&lt;SUMIFS($D$6:$D$400,$B$6:$B$400,B257,$A$6:$A$400,EOMONTH(A257,-1)),"Dropped","")))</f>
        <v/>
      </c>
      <c r="S257" s="41" t="str">
        <f aca="false">IF(B257="","",B257&amp;"|"&amp;(YEAR(A257)*100+MONTH(A257)))</f>
        <v/>
      </c>
    </row>
    <row r="258" customFormat="false" ht="15" hidden="false" customHeight="false" outlineLevel="0" collapsed="false">
      <c r="A258" s="37"/>
      <c r="C258" s="0" t="str">
        <f aca="false">IF(B258="","",IFERROR(INDEX(Project_Register!$B$6:$B$40,MATCH(B258,Project_Register!$A$6:$A$40,0)),"Unknown ID"))</f>
        <v/>
      </c>
      <c r="D258" s="38"/>
      <c r="E258" s="24"/>
      <c r="F258" s="24"/>
      <c r="G258" s="39"/>
      <c r="J258" s="39"/>
      <c r="K258" s="38" t="str">
        <f aca="false">IF(OR(B258="",T258="On Hold"),"",MAX(0,MIN(1,(A258-INDEX(Project_Register!$G$6:$G$40,MATCH(B258,Project_Register!$A$6:$A$40,0)))/(INDEX(Project_Register!$H$6:$H$40,MATCH(B258,Project_Register!$A$6:$A$40,0))-INDEX(Project_Register!$G$6:$G$40,MATCH(B258,Project_Register!$A$6:$A$40,0))))))</f>
        <v/>
      </c>
      <c r="L258" s="40" t="str">
        <f aca="false">IF(OR(B258="",D258="",T258="On Hold"),"",ROUND((D258-K258)*100,0))</f>
        <v/>
      </c>
      <c r="M258" s="38" t="str">
        <f aca="false">IF(OR(B258="",F258=""),"",F258/INDEX(Project_Register!$I$6:$I$40,MATCH(B258,Project_Register!$A$6:$A$40,0)))</f>
        <v/>
      </c>
      <c r="N258" s="40" t="str">
        <f aca="false">IF(OR(B258="",G258="",T258="On Hold"),"",G258-INDEX(Project_Register!$H$6:$H$40,MATCH(B258,Project_Register!$A$6:$A$40,0)))</f>
        <v/>
      </c>
      <c r="O258" s="0" t="str">
        <f aca="false">IF(B258="","",IF(D258="","No update",IF(AND(T258&lt;&gt;"Active",D258&lt;1),T258,IF(D258&gt;=1,"Complete",IF(OR(L258&lt;=SV_Red,M258&gt;Cost_Red,N258&gt;Slip_Red),"Red",IF(OR(L258&lt;=SV_Amber,M258&gt;Cost_Amber,N258&gt;Slip_Amber),"Amber","Green"))))))</f>
        <v/>
      </c>
      <c r="P258" s="0" t="str">
        <f aca="false">IF(AND(H258="Green",OR(O258="Amber",O258="Red")),"Watermelon","")</f>
        <v/>
      </c>
      <c r="Q258" s="0" t="str">
        <f aca="false">IF(B258="","",IF(J258="","Missing",IF(J258&gt;A258+UpdateDue,"Late","On time")))</f>
        <v/>
      </c>
      <c r="R258" s="0" t="str">
        <f aca="false">IF(OR(B258="",D258=""),"",IF(COUNTIFS($B$6:$B$400,B258,$A$6:$A$400,EOMONTH(A258,-1))=0,"",IF(D258&lt;SUMIFS($D$6:$D$400,$B$6:$B$400,B258,$A$6:$A$400,EOMONTH(A258,-1)),"Dropped","")))</f>
        <v/>
      </c>
      <c r="S258" s="41" t="str">
        <f aca="false">IF(B258="","",B258&amp;"|"&amp;(YEAR(A258)*100+MONTH(A258)))</f>
        <v/>
      </c>
    </row>
    <row r="259" customFormat="false" ht="15" hidden="false" customHeight="false" outlineLevel="0" collapsed="false">
      <c r="A259" s="37"/>
      <c r="C259" s="0" t="str">
        <f aca="false">IF(B259="","",IFERROR(INDEX(Project_Register!$B$6:$B$40,MATCH(B259,Project_Register!$A$6:$A$40,0)),"Unknown ID"))</f>
        <v/>
      </c>
      <c r="D259" s="38"/>
      <c r="E259" s="24"/>
      <c r="F259" s="24"/>
      <c r="G259" s="39"/>
      <c r="J259" s="39"/>
      <c r="K259" s="38" t="str">
        <f aca="false">IF(OR(B259="",T259="On Hold"),"",MAX(0,MIN(1,(A259-INDEX(Project_Register!$G$6:$G$40,MATCH(B259,Project_Register!$A$6:$A$40,0)))/(INDEX(Project_Register!$H$6:$H$40,MATCH(B259,Project_Register!$A$6:$A$40,0))-INDEX(Project_Register!$G$6:$G$40,MATCH(B259,Project_Register!$A$6:$A$40,0))))))</f>
        <v/>
      </c>
      <c r="L259" s="40" t="str">
        <f aca="false">IF(OR(B259="",D259="",T259="On Hold"),"",ROUND((D259-K259)*100,0))</f>
        <v/>
      </c>
      <c r="M259" s="38" t="str">
        <f aca="false">IF(OR(B259="",F259=""),"",F259/INDEX(Project_Register!$I$6:$I$40,MATCH(B259,Project_Register!$A$6:$A$40,0)))</f>
        <v/>
      </c>
      <c r="N259" s="40" t="str">
        <f aca="false">IF(OR(B259="",G259="",T259="On Hold"),"",G259-INDEX(Project_Register!$H$6:$H$40,MATCH(B259,Project_Register!$A$6:$A$40,0)))</f>
        <v/>
      </c>
      <c r="O259" s="0" t="str">
        <f aca="false">IF(B259="","",IF(D259="","No update",IF(AND(T259&lt;&gt;"Active",D259&lt;1),T259,IF(D259&gt;=1,"Complete",IF(OR(L259&lt;=SV_Red,M259&gt;Cost_Red,N259&gt;Slip_Red),"Red",IF(OR(L259&lt;=SV_Amber,M259&gt;Cost_Amber,N259&gt;Slip_Amber),"Amber","Green"))))))</f>
        <v/>
      </c>
      <c r="P259" s="0" t="str">
        <f aca="false">IF(AND(H259="Green",OR(O259="Amber",O259="Red")),"Watermelon","")</f>
        <v/>
      </c>
      <c r="Q259" s="0" t="str">
        <f aca="false">IF(B259="","",IF(J259="","Missing",IF(J259&gt;A259+UpdateDue,"Late","On time")))</f>
        <v/>
      </c>
      <c r="R259" s="0" t="str">
        <f aca="false">IF(OR(B259="",D259=""),"",IF(COUNTIFS($B$6:$B$400,B259,$A$6:$A$400,EOMONTH(A259,-1))=0,"",IF(D259&lt;SUMIFS($D$6:$D$400,$B$6:$B$400,B259,$A$6:$A$400,EOMONTH(A259,-1)),"Dropped","")))</f>
        <v/>
      </c>
      <c r="S259" s="41" t="str">
        <f aca="false">IF(B259="","",B259&amp;"|"&amp;(YEAR(A259)*100+MONTH(A259)))</f>
        <v/>
      </c>
    </row>
    <row r="260" customFormat="false" ht="15" hidden="false" customHeight="false" outlineLevel="0" collapsed="false">
      <c r="A260" s="37"/>
      <c r="C260" s="0" t="str">
        <f aca="false">IF(B260="","",IFERROR(INDEX(Project_Register!$B$6:$B$40,MATCH(B260,Project_Register!$A$6:$A$40,0)),"Unknown ID"))</f>
        <v/>
      </c>
      <c r="D260" s="38"/>
      <c r="E260" s="24"/>
      <c r="F260" s="24"/>
      <c r="G260" s="39"/>
      <c r="J260" s="39"/>
      <c r="K260" s="38" t="str">
        <f aca="false">IF(OR(B260="",T260="On Hold"),"",MAX(0,MIN(1,(A260-INDEX(Project_Register!$G$6:$G$40,MATCH(B260,Project_Register!$A$6:$A$40,0)))/(INDEX(Project_Register!$H$6:$H$40,MATCH(B260,Project_Register!$A$6:$A$40,0))-INDEX(Project_Register!$G$6:$G$40,MATCH(B260,Project_Register!$A$6:$A$40,0))))))</f>
        <v/>
      </c>
      <c r="L260" s="40" t="str">
        <f aca="false">IF(OR(B260="",D260="",T260="On Hold"),"",ROUND((D260-K260)*100,0))</f>
        <v/>
      </c>
      <c r="M260" s="38" t="str">
        <f aca="false">IF(OR(B260="",F260=""),"",F260/INDEX(Project_Register!$I$6:$I$40,MATCH(B260,Project_Register!$A$6:$A$40,0)))</f>
        <v/>
      </c>
      <c r="N260" s="40" t="str">
        <f aca="false">IF(OR(B260="",G260="",T260="On Hold"),"",G260-INDEX(Project_Register!$H$6:$H$40,MATCH(B260,Project_Register!$A$6:$A$40,0)))</f>
        <v/>
      </c>
      <c r="O260" s="0" t="str">
        <f aca="false">IF(B260="","",IF(D260="","No update",IF(AND(T260&lt;&gt;"Active",D260&lt;1),T260,IF(D260&gt;=1,"Complete",IF(OR(L260&lt;=SV_Red,M260&gt;Cost_Red,N260&gt;Slip_Red),"Red",IF(OR(L260&lt;=SV_Amber,M260&gt;Cost_Amber,N260&gt;Slip_Amber),"Amber","Green"))))))</f>
        <v/>
      </c>
      <c r="P260" s="0" t="str">
        <f aca="false">IF(AND(H260="Green",OR(O260="Amber",O260="Red")),"Watermelon","")</f>
        <v/>
      </c>
      <c r="Q260" s="0" t="str">
        <f aca="false">IF(B260="","",IF(J260="","Missing",IF(J260&gt;A260+UpdateDue,"Late","On time")))</f>
        <v/>
      </c>
      <c r="R260" s="0" t="str">
        <f aca="false">IF(OR(B260="",D260=""),"",IF(COUNTIFS($B$6:$B$400,B260,$A$6:$A$400,EOMONTH(A260,-1))=0,"",IF(D260&lt;SUMIFS($D$6:$D$400,$B$6:$B$400,B260,$A$6:$A$400,EOMONTH(A260,-1)),"Dropped","")))</f>
        <v/>
      </c>
      <c r="S260" s="41" t="str">
        <f aca="false">IF(B260="","",B260&amp;"|"&amp;(YEAR(A260)*100+MONTH(A260)))</f>
        <v/>
      </c>
    </row>
    <row r="261" customFormat="false" ht="15" hidden="false" customHeight="false" outlineLevel="0" collapsed="false">
      <c r="A261" s="37"/>
      <c r="C261" s="0" t="str">
        <f aca="false">IF(B261="","",IFERROR(INDEX(Project_Register!$B$6:$B$40,MATCH(B261,Project_Register!$A$6:$A$40,0)),"Unknown ID"))</f>
        <v/>
      </c>
      <c r="D261" s="38"/>
      <c r="E261" s="24"/>
      <c r="F261" s="24"/>
      <c r="G261" s="39"/>
      <c r="J261" s="39"/>
      <c r="K261" s="38" t="str">
        <f aca="false">IF(OR(B261="",T261="On Hold"),"",MAX(0,MIN(1,(A261-INDEX(Project_Register!$G$6:$G$40,MATCH(B261,Project_Register!$A$6:$A$40,0)))/(INDEX(Project_Register!$H$6:$H$40,MATCH(B261,Project_Register!$A$6:$A$40,0))-INDEX(Project_Register!$G$6:$G$40,MATCH(B261,Project_Register!$A$6:$A$40,0))))))</f>
        <v/>
      </c>
      <c r="L261" s="40" t="str">
        <f aca="false">IF(OR(B261="",D261="",T261="On Hold"),"",ROUND((D261-K261)*100,0))</f>
        <v/>
      </c>
      <c r="M261" s="38" t="str">
        <f aca="false">IF(OR(B261="",F261=""),"",F261/INDEX(Project_Register!$I$6:$I$40,MATCH(B261,Project_Register!$A$6:$A$40,0)))</f>
        <v/>
      </c>
      <c r="N261" s="40" t="str">
        <f aca="false">IF(OR(B261="",G261="",T261="On Hold"),"",G261-INDEX(Project_Register!$H$6:$H$40,MATCH(B261,Project_Register!$A$6:$A$40,0)))</f>
        <v/>
      </c>
      <c r="O261" s="0" t="str">
        <f aca="false">IF(B261="","",IF(D261="","No update",IF(AND(T261&lt;&gt;"Active",D261&lt;1),T261,IF(D261&gt;=1,"Complete",IF(OR(L261&lt;=SV_Red,M261&gt;Cost_Red,N261&gt;Slip_Red),"Red",IF(OR(L261&lt;=SV_Amber,M261&gt;Cost_Amber,N261&gt;Slip_Amber),"Amber","Green"))))))</f>
        <v/>
      </c>
      <c r="P261" s="0" t="str">
        <f aca="false">IF(AND(H261="Green",OR(O261="Amber",O261="Red")),"Watermelon","")</f>
        <v/>
      </c>
      <c r="Q261" s="0" t="str">
        <f aca="false">IF(B261="","",IF(J261="","Missing",IF(J261&gt;A261+UpdateDue,"Late","On time")))</f>
        <v/>
      </c>
      <c r="R261" s="0" t="str">
        <f aca="false">IF(OR(B261="",D261=""),"",IF(COUNTIFS($B$6:$B$400,B261,$A$6:$A$400,EOMONTH(A261,-1))=0,"",IF(D261&lt;SUMIFS($D$6:$D$400,$B$6:$B$400,B261,$A$6:$A$400,EOMONTH(A261,-1)),"Dropped","")))</f>
        <v/>
      </c>
      <c r="S261" s="41" t="str">
        <f aca="false">IF(B261="","",B261&amp;"|"&amp;(YEAR(A261)*100+MONTH(A261)))</f>
        <v/>
      </c>
    </row>
    <row r="262" customFormat="false" ht="15" hidden="false" customHeight="false" outlineLevel="0" collapsed="false">
      <c r="A262" s="37"/>
      <c r="C262" s="0" t="str">
        <f aca="false">IF(B262="","",IFERROR(INDEX(Project_Register!$B$6:$B$40,MATCH(B262,Project_Register!$A$6:$A$40,0)),"Unknown ID"))</f>
        <v/>
      </c>
      <c r="D262" s="38"/>
      <c r="E262" s="24"/>
      <c r="F262" s="24"/>
      <c r="G262" s="39"/>
      <c r="J262" s="39"/>
      <c r="K262" s="38" t="str">
        <f aca="false">IF(OR(B262="",T262="On Hold"),"",MAX(0,MIN(1,(A262-INDEX(Project_Register!$G$6:$G$40,MATCH(B262,Project_Register!$A$6:$A$40,0)))/(INDEX(Project_Register!$H$6:$H$40,MATCH(B262,Project_Register!$A$6:$A$40,0))-INDEX(Project_Register!$G$6:$G$40,MATCH(B262,Project_Register!$A$6:$A$40,0))))))</f>
        <v/>
      </c>
      <c r="L262" s="40" t="str">
        <f aca="false">IF(OR(B262="",D262="",T262="On Hold"),"",ROUND((D262-K262)*100,0))</f>
        <v/>
      </c>
      <c r="M262" s="38" t="str">
        <f aca="false">IF(OR(B262="",F262=""),"",F262/INDEX(Project_Register!$I$6:$I$40,MATCH(B262,Project_Register!$A$6:$A$40,0)))</f>
        <v/>
      </c>
      <c r="N262" s="40" t="str">
        <f aca="false">IF(OR(B262="",G262="",T262="On Hold"),"",G262-INDEX(Project_Register!$H$6:$H$40,MATCH(B262,Project_Register!$A$6:$A$40,0)))</f>
        <v/>
      </c>
      <c r="O262" s="0" t="str">
        <f aca="false">IF(B262="","",IF(D262="","No update",IF(AND(T262&lt;&gt;"Active",D262&lt;1),T262,IF(D262&gt;=1,"Complete",IF(OR(L262&lt;=SV_Red,M262&gt;Cost_Red,N262&gt;Slip_Red),"Red",IF(OR(L262&lt;=SV_Amber,M262&gt;Cost_Amber,N262&gt;Slip_Amber),"Amber","Green"))))))</f>
        <v/>
      </c>
      <c r="P262" s="0" t="str">
        <f aca="false">IF(AND(H262="Green",OR(O262="Amber",O262="Red")),"Watermelon","")</f>
        <v/>
      </c>
      <c r="Q262" s="0" t="str">
        <f aca="false">IF(B262="","",IF(J262="","Missing",IF(J262&gt;A262+UpdateDue,"Late","On time")))</f>
        <v/>
      </c>
      <c r="R262" s="0" t="str">
        <f aca="false">IF(OR(B262="",D262=""),"",IF(COUNTIFS($B$6:$B$400,B262,$A$6:$A$400,EOMONTH(A262,-1))=0,"",IF(D262&lt;SUMIFS($D$6:$D$400,$B$6:$B$400,B262,$A$6:$A$400,EOMONTH(A262,-1)),"Dropped","")))</f>
        <v/>
      </c>
      <c r="S262" s="41" t="str">
        <f aca="false">IF(B262="","",B262&amp;"|"&amp;(YEAR(A262)*100+MONTH(A262)))</f>
        <v/>
      </c>
    </row>
    <row r="263" customFormat="false" ht="15" hidden="false" customHeight="false" outlineLevel="0" collapsed="false">
      <c r="A263" s="37"/>
      <c r="C263" s="0" t="str">
        <f aca="false">IF(B263="","",IFERROR(INDEX(Project_Register!$B$6:$B$40,MATCH(B263,Project_Register!$A$6:$A$40,0)),"Unknown ID"))</f>
        <v/>
      </c>
      <c r="D263" s="38"/>
      <c r="E263" s="24"/>
      <c r="F263" s="24"/>
      <c r="G263" s="39"/>
      <c r="J263" s="39"/>
      <c r="K263" s="38" t="str">
        <f aca="false">IF(OR(B263="",T263="On Hold"),"",MAX(0,MIN(1,(A263-INDEX(Project_Register!$G$6:$G$40,MATCH(B263,Project_Register!$A$6:$A$40,0)))/(INDEX(Project_Register!$H$6:$H$40,MATCH(B263,Project_Register!$A$6:$A$40,0))-INDEX(Project_Register!$G$6:$G$40,MATCH(B263,Project_Register!$A$6:$A$40,0))))))</f>
        <v/>
      </c>
      <c r="L263" s="40" t="str">
        <f aca="false">IF(OR(B263="",D263="",T263="On Hold"),"",ROUND((D263-K263)*100,0))</f>
        <v/>
      </c>
      <c r="M263" s="38" t="str">
        <f aca="false">IF(OR(B263="",F263=""),"",F263/INDEX(Project_Register!$I$6:$I$40,MATCH(B263,Project_Register!$A$6:$A$40,0)))</f>
        <v/>
      </c>
      <c r="N263" s="40" t="str">
        <f aca="false">IF(OR(B263="",G263="",T263="On Hold"),"",G263-INDEX(Project_Register!$H$6:$H$40,MATCH(B263,Project_Register!$A$6:$A$40,0)))</f>
        <v/>
      </c>
      <c r="O263" s="0" t="str">
        <f aca="false">IF(B263="","",IF(D263="","No update",IF(AND(T263&lt;&gt;"Active",D263&lt;1),T263,IF(D263&gt;=1,"Complete",IF(OR(L263&lt;=SV_Red,M263&gt;Cost_Red,N263&gt;Slip_Red),"Red",IF(OR(L263&lt;=SV_Amber,M263&gt;Cost_Amber,N263&gt;Slip_Amber),"Amber","Green"))))))</f>
        <v/>
      </c>
      <c r="P263" s="0" t="str">
        <f aca="false">IF(AND(H263="Green",OR(O263="Amber",O263="Red")),"Watermelon","")</f>
        <v/>
      </c>
      <c r="Q263" s="0" t="str">
        <f aca="false">IF(B263="","",IF(J263="","Missing",IF(J263&gt;A263+UpdateDue,"Late","On time")))</f>
        <v/>
      </c>
      <c r="R263" s="0" t="str">
        <f aca="false">IF(OR(B263="",D263=""),"",IF(COUNTIFS($B$6:$B$400,B263,$A$6:$A$400,EOMONTH(A263,-1))=0,"",IF(D263&lt;SUMIFS($D$6:$D$400,$B$6:$B$400,B263,$A$6:$A$400,EOMONTH(A263,-1)),"Dropped","")))</f>
        <v/>
      </c>
      <c r="S263" s="41" t="str">
        <f aca="false">IF(B263="","",B263&amp;"|"&amp;(YEAR(A263)*100+MONTH(A263)))</f>
        <v/>
      </c>
    </row>
    <row r="264" customFormat="false" ht="15" hidden="false" customHeight="false" outlineLevel="0" collapsed="false">
      <c r="A264" s="37"/>
      <c r="C264" s="0" t="str">
        <f aca="false">IF(B264="","",IFERROR(INDEX(Project_Register!$B$6:$B$40,MATCH(B264,Project_Register!$A$6:$A$40,0)),"Unknown ID"))</f>
        <v/>
      </c>
      <c r="D264" s="38"/>
      <c r="E264" s="24"/>
      <c r="F264" s="24"/>
      <c r="G264" s="39"/>
      <c r="J264" s="39"/>
      <c r="K264" s="38" t="str">
        <f aca="false">IF(OR(B264="",T264="On Hold"),"",MAX(0,MIN(1,(A264-INDEX(Project_Register!$G$6:$G$40,MATCH(B264,Project_Register!$A$6:$A$40,0)))/(INDEX(Project_Register!$H$6:$H$40,MATCH(B264,Project_Register!$A$6:$A$40,0))-INDEX(Project_Register!$G$6:$G$40,MATCH(B264,Project_Register!$A$6:$A$40,0))))))</f>
        <v/>
      </c>
      <c r="L264" s="40" t="str">
        <f aca="false">IF(OR(B264="",D264="",T264="On Hold"),"",ROUND((D264-K264)*100,0))</f>
        <v/>
      </c>
      <c r="M264" s="38" t="str">
        <f aca="false">IF(OR(B264="",F264=""),"",F264/INDEX(Project_Register!$I$6:$I$40,MATCH(B264,Project_Register!$A$6:$A$40,0)))</f>
        <v/>
      </c>
      <c r="N264" s="40" t="str">
        <f aca="false">IF(OR(B264="",G264="",T264="On Hold"),"",G264-INDEX(Project_Register!$H$6:$H$40,MATCH(B264,Project_Register!$A$6:$A$40,0)))</f>
        <v/>
      </c>
      <c r="O264" s="0" t="str">
        <f aca="false">IF(B264="","",IF(D264="","No update",IF(AND(T264&lt;&gt;"Active",D264&lt;1),T264,IF(D264&gt;=1,"Complete",IF(OR(L264&lt;=SV_Red,M264&gt;Cost_Red,N264&gt;Slip_Red),"Red",IF(OR(L264&lt;=SV_Amber,M264&gt;Cost_Amber,N264&gt;Slip_Amber),"Amber","Green"))))))</f>
        <v/>
      </c>
      <c r="P264" s="0" t="str">
        <f aca="false">IF(AND(H264="Green",OR(O264="Amber",O264="Red")),"Watermelon","")</f>
        <v/>
      </c>
      <c r="Q264" s="0" t="str">
        <f aca="false">IF(B264="","",IF(J264="","Missing",IF(J264&gt;A264+UpdateDue,"Late","On time")))</f>
        <v/>
      </c>
      <c r="R264" s="0" t="str">
        <f aca="false">IF(OR(B264="",D264=""),"",IF(COUNTIFS($B$6:$B$400,B264,$A$6:$A$400,EOMONTH(A264,-1))=0,"",IF(D264&lt;SUMIFS($D$6:$D$400,$B$6:$B$400,B264,$A$6:$A$400,EOMONTH(A264,-1)),"Dropped","")))</f>
        <v/>
      </c>
      <c r="S264" s="41" t="str">
        <f aca="false">IF(B264="","",B264&amp;"|"&amp;(YEAR(A264)*100+MONTH(A264)))</f>
        <v/>
      </c>
    </row>
    <row r="265" customFormat="false" ht="15" hidden="false" customHeight="false" outlineLevel="0" collapsed="false">
      <c r="A265" s="37"/>
      <c r="C265" s="0" t="str">
        <f aca="false">IF(B265="","",IFERROR(INDEX(Project_Register!$B$6:$B$40,MATCH(B265,Project_Register!$A$6:$A$40,0)),"Unknown ID"))</f>
        <v/>
      </c>
      <c r="D265" s="38"/>
      <c r="E265" s="24"/>
      <c r="F265" s="24"/>
      <c r="G265" s="39"/>
      <c r="J265" s="39"/>
      <c r="K265" s="38" t="str">
        <f aca="false">IF(OR(B265="",T265="On Hold"),"",MAX(0,MIN(1,(A265-INDEX(Project_Register!$G$6:$G$40,MATCH(B265,Project_Register!$A$6:$A$40,0)))/(INDEX(Project_Register!$H$6:$H$40,MATCH(B265,Project_Register!$A$6:$A$40,0))-INDEX(Project_Register!$G$6:$G$40,MATCH(B265,Project_Register!$A$6:$A$40,0))))))</f>
        <v/>
      </c>
      <c r="L265" s="40" t="str">
        <f aca="false">IF(OR(B265="",D265="",T265="On Hold"),"",ROUND((D265-K265)*100,0))</f>
        <v/>
      </c>
      <c r="M265" s="38" t="str">
        <f aca="false">IF(OR(B265="",F265=""),"",F265/INDEX(Project_Register!$I$6:$I$40,MATCH(B265,Project_Register!$A$6:$A$40,0)))</f>
        <v/>
      </c>
      <c r="N265" s="40" t="str">
        <f aca="false">IF(OR(B265="",G265="",T265="On Hold"),"",G265-INDEX(Project_Register!$H$6:$H$40,MATCH(B265,Project_Register!$A$6:$A$40,0)))</f>
        <v/>
      </c>
      <c r="O265" s="0" t="str">
        <f aca="false">IF(B265="","",IF(D265="","No update",IF(AND(T265&lt;&gt;"Active",D265&lt;1),T265,IF(D265&gt;=1,"Complete",IF(OR(L265&lt;=SV_Red,M265&gt;Cost_Red,N265&gt;Slip_Red),"Red",IF(OR(L265&lt;=SV_Amber,M265&gt;Cost_Amber,N265&gt;Slip_Amber),"Amber","Green"))))))</f>
        <v/>
      </c>
      <c r="P265" s="0" t="str">
        <f aca="false">IF(AND(H265="Green",OR(O265="Amber",O265="Red")),"Watermelon","")</f>
        <v/>
      </c>
      <c r="Q265" s="0" t="str">
        <f aca="false">IF(B265="","",IF(J265="","Missing",IF(J265&gt;A265+UpdateDue,"Late","On time")))</f>
        <v/>
      </c>
      <c r="R265" s="0" t="str">
        <f aca="false">IF(OR(B265="",D265=""),"",IF(COUNTIFS($B$6:$B$400,B265,$A$6:$A$400,EOMONTH(A265,-1))=0,"",IF(D265&lt;SUMIFS($D$6:$D$400,$B$6:$B$400,B265,$A$6:$A$400,EOMONTH(A265,-1)),"Dropped","")))</f>
        <v/>
      </c>
      <c r="S265" s="41" t="str">
        <f aca="false">IF(B265="","",B265&amp;"|"&amp;(YEAR(A265)*100+MONTH(A265)))</f>
        <v/>
      </c>
    </row>
    <row r="266" customFormat="false" ht="15" hidden="false" customHeight="false" outlineLevel="0" collapsed="false">
      <c r="A266" s="37"/>
      <c r="C266" s="0" t="str">
        <f aca="false">IF(B266="","",IFERROR(INDEX(Project_Register!$B$6:$B$40,MATCH(B266,Project_Register!$A$6:$A$40,0)),"Unknown ID"))</f>
        <v/>
      </c>
      <c r="D266" s="38"/>
      <c r="E266" s="24"/>
      <c r="F266" s="24"/>
      <c r="G266" s="39"/>
      <c r="J266" s="39"/>
      <c r="K266" s="38" t="str">
        <f aca="false">IF(OR(B266="",T266="On Hold"),"",MAX(0,MIN(1,(A266-INDEX(Project_Register!$G$6:$G$40,MATCH(B266,Project_Register!$A$6:$A$40,0)))/(INDEX(Project_Register!$H$6:$H$40,MATCH(B266,Project_Register!$A$6:$A$40,0))-INDEX(Project_Register!$G$6:$G$40,MATCH(B266,Project_Register!$A$6:$A$40,0))))))</f>
        <v/>
      </c>
      <c r="L266" s="40" t="str">
        <f aca="false">IF(OR(B266="",D266="",T266="On Hold"),"",ROUND((D266-K266)*100,0))</f>
        <v/>
      </c>
      <c r="M266" s="38" t="str">
        <f aca="false">IF(OR(B266="",F266=""),"",F266/INDEX(Project_Register!$I$6:$I$40,MATCH(B266,Project_Register!$A$6:$A$40,0)))</f>
        <v/>
      </c>
      <c r="N266" s="40" t="str">
        <f aca="false">IF(OR(B266="",G266="",T266="On Hold"),"",G266-INDEX(Project_Register!$H$6:$H$40,MATCH(B266,Project_Register!$A$6:$A$40,0)))</f>
        <v/>
      </c>
      <c r="O266" s="0" t="str">
        <f aca="false">IF(B266="","",IF(D266="","No update",IF(AND(T266&lt;&gt;"Active",D266&lt;1),T266,IF(D266&gt;=1,"Complete",IF(OR(L266&lt;=SV_Red,M266&gt;Cost_Red,N266&gt;Slip_Red),"Red",IF(OR(L266&lt;=SV_Amber,M266&gt;Cost_Amber,N266&gt;Slip_Amber),"Amber","Green"))))))</f>
        <v/>
      </c>
      <c r="P266" s="0" t="str">
        <f aca="false">IF(AND(H266="Green",OR(O266="Amber",O266="Red")),"Watermelon","")</f>
        <v/>
      </c>
      <c r="Q266" s="0" t="str">
        <f aca="false">IF(B266="","",IF(J266="","Missing",IF(J266&gt;A266+UpdateDue,"Late","On time")))</f>
        <v/>
      </c>
      <c r="R266" s="0" t="str">
        <f aca="false">IF(OR(B266="",D266=""),"",IF(COUNTIFS($B$6:$B$400,B266,$A$6:$A$400,EOMONTH(A266,-1))=0,"",IF(D266&lt;SUMIFS($D$6:$D$400,$B$6:$B$400,B266,$A$6:$A$400,EOMONTH(A266,-1)),"Dropped","")))</f>
        <v/>
      </c>
      <c r="S266" s="41" t="str">
        <f aca="false">IF(B266="","",B266&amp;"|"&amp;(YEAR(A266)*100+MONTH(A266)))</f>
        <v/>
      </c>
    </row>
    <row r="267" customFormat="false" ht="15" hidden="false" customHeight="false" outlineLevel="0" collapsed="false">
      <c r="A267" s="37"/>
      <c r="C267" s="0" t="str">
        <f aca="false">IF(B267="","",IFERROR(INDEX(Project_Register!$B$6:$B$40,MATCH(B267,Project_Register!$A$6:$A$40,0)),"Unknown ID"))</f>
        <v/>
      </c>
      <c r="D267" s="38"/>
      <c r="E267" s="24"/>
      <c r="F267" s="24"/>
      <c r="G267" s="39"/>
      <c r="J267" s="39"/>
      <c r="K267" s="38" t="str">
        <f aca="false">IF(OR(B267="",T267="On Hold"),"",MAX(0,MIN(1,(A267-INDEX(Project_Register!$G$6:$G$40,MATCH(B267,Project_Register!$A$6:$A$40,0)))/(INDEX(Project_Register!$H$6:$H$40,MATCH(B267,Project_Register!$A$6:$A$40,0))-INDEX(Project_Register!$G$6:$G$40,MATCH(B267,Project_Register!$A$6:$A$40,0))))))</f>
        <v/>
      </c>
      <c r="L267" s="40" t="str">
        <f aca="false">IF(OR(B267="",D267="",T267="On Hold"),"",ROUND((D267-K267)*100,0))</f>
        <v/>
      </c>
      <c r="M267" s="38" t="str">
        <f aca="false">IF(OR(B267="",F267=""),"",F267/INDEX(Project_Register!$I$6:$I$40,MATCH(B267,Project_Register!$A$6:$A$40,0)))</f>
        <v/>
      </c>
      <c r="N267" s="40" t="str">
        <f aca="false">IF(OR(B267="",G267="",T267="On Hold"),"",G267-INDEX(Project_Register!$H$6:$H$40,MATCH(B267,Project_Register!$A$6:$A$40,0)))</f>
        <v/>
      </c>
      <c r="O267" s="0" t="str">
        <f aca="false">IF(B267="","",IF(D267="","No update",IF(AND(T267&lt;&gt;"Active",D267&lt;1),T267,IF(D267&gt;=1,"Complete",IF(OR(L267&lt;=SV_Red,M267&gt;Cost_Red,N267&gt;Slip_Red),"Red",IF(OR(L267&lt;=SV_Amber,M267&gt;Cost_Amber,N267&gt;Slip_Amber),"Amber","Green"))))))</f>
        <v/>
      </c>
      <c r="P267" s="0" t="str">
        <f aca="false">IF(AND(H267="Green",OR(O267="Amber",O267="Red")),"Watermelon","")</f>
        <v/>
      </c>
      <c r="Q267" s="0" t="str">
        <f aca="false">IF(B267="","",IF(J267="","Missing",IF(J267&gt;A267+UpdateDue,"Late","On time")))</f>
        <v/>
      </c>
      <c r="R267" s="0" t="str">
        <f aca="false">IF(OR(B267="",D267=""),"",IF(COUNTIFS($B$6:$B$400,B267,$A$6:$A$400,EOMONTH(A267,-1))=0,"",IF(D267&lt;SUMIFS($D$6:$D$400,$B$6:$B$400,B267,$A$6:$A$400,EOMONTH(A267,-1)),"Dropped","")))</f>
        <v/>
      </c>
      <c r="S267" s="41" t="str">
        <f aca="false">IF(B267="","",B267&amp;"|"&amp;(YEAR(A267)*100+MONTH(A267)))</f>
        <v/>
      </c>
    </row>
    <row r="268" customFormat="false" ht="15" hidden="false" customHeight="false" outlineLevel="0" collapsed="false">
      <c r="A268" s="37"/>
      <c r="C268" s="0" t="str">
        <f aca="false">IF(B268="","",IFERROR(INDEX(Project_Register!$B$6:$B$40,MATCH(B268,Project_Register!$A$6:$A$40,0)),"Unknown ID"))</f>
        <v/>
      </c>
      <c r="D268" s="38"/>
      <c r="E268" s="24"/>
      <c r="F268" s="24"/>
      <c r="G268" s="39"/>
      <c r="J268" s="39"/>
      <c r="K268" s="38" t="str">
        <f aca="false">IF(OR(B268="",T268="On Hold"),"",MAX(0,MIN(1,(A268-INDEX(Project_Register!$G$6:$G$40,MATCH(B268,Project_Register!$A$6:$A$40,0)))/(INDEX(Project_Register!$H$6:$H$40,MATCH(B268,Project_Register!$A$6:$A$40,0))-INDEX(Project_Register!$G$6:$G$40,MATCH(B268,Project_Register!$A$6:$A$40,0))))))</f>
        <v/>
      </c>
      <c r="L268" s="40" t="str">
        <f aca="false">IF(OR(B268="",D268="",T268="On Hold"),"",ROUND((D268-K268)*100,0))</f>
        <v/>
      </c>
      <c r="M268" s="38" t="str">
        <f aca="false">IF(OR(B268="",F268=""),"",F268/INDEX(Project_Register!$I$6:$I$40,MATCH(B268,Project_Register!$A$6:$A$40,0)))</f>
        <v/>
      </c>
      <c r="N268" s="40" t="str">
        <f aca="false">IF(OR(B268="",G268="",T268="On Hold"),"",G268-INDEX(Project_Register!$H$6:$H$40,MATCH(B268,Project_Register!$A$6:$A$40,0)))</f>
        <v/>
      </c>
      <c r="O268" s="0" t="str">
        <f aca="false">IF(B268="","",IF(D268="","No update",IF(AND(T268&lt;&gt;"Active",D268&lt;1),T268,IF(D268&gt;=1,"Complete",IF(OR(L268&lt;=SV_Red,M268&gt;Cost_Red,N268&gt;Slip_Red),"Red",IF(OR(L268&lt;=SV_Amber,M268&gt;Cost_Amber,N268&gt;Slip_Amber),"Amber","Green"))))))</f>
        <v/>
      </c>
      <c r="P268" s="0" t="str">
        <f aca="false">IF(AND(H268="Green",OR(O268="Amber",O268="Red")),"Watermelon","")</f>
        <v/>
      </c>
      <c r="Q268" s="0" t="str">
        <f aca="false">IF(B268="","",IF(J268="","Missing",IF(J268&gt;A268+UpdateDue,"Late","On time")))</f>
        <v/>
      </c>
      <c r="R268" s="0" t="str">
        <f aca="false">IF(OR(B268="",D268=""),"",IF(COUNTIFS($B$6:$B$400,B268,$A$6:$A$400,EOMONTH(A268,-1))=0,"",IF(D268&lt;SUMIFS($D$6:$D$400,$B$6:$B$400,B268,$A$6:$A$400,EOMONTH(A268,-1)),"Dropped","")))</f>
        <v/>
      </c>
      <c r="S268" s="41" t="str">
        <f aca="false">IF(B268="","",B268&amp;"|"&amp;(YEAR(A268)*100+MONTH(A268)))</f>
        <v/>
      </c>
    </row>
    <row r="269" customFormat="false" ht="15" hidden="false" customHeight="false" outlineLevel="0" collapsed="false">
      <c r="A269" s="37"/>
      <c r="C269" s="0" t="str">
        <f aca="false">IF(B269="","",IFERROR(INDEX(Project_Register!$B$6:$B$40,MATCH(B269,Project_Register!$A$6:$A$40,0)),"Unknown ID"))</f>
        <v/>
      </c>
      <c r="D269" s="38"/>
      <c r="E269" s="24"/>
      <c r="F269" s="24"/>
      <c r="G269" s="39"/>
      <c r="J269" s="39"/>
      <c r="K269" s="38" t="str">
        <f aca="false">IF(OR(B269="",T269="On Hold"),"",MAX(0,MIN(1,(A269-INDEX(Project_Register!$G$6:$G$40,MATCH(B269,Project_Register!$A$6:$A$40,0)))/(INDEX(Project_Register!$H$6:$H$40,MATCH(B269,Project_Register!$A$6:$A$40,0))-INDEX(Project_Register!$G$6:$G$40,MATCH(B269,Project_Register!$A$6:$A$40,0))))))</f>
        <v/>
      </c>
      <c r="L269" s="40" t="str">
        <f aca="false">IF(OR(B269="",D269="",T269="On Hold"),"",ROUND((D269-K269)*100,0))</f>
        <v/>
      </c>
      <c r="M269" s="38" t="str">
        <f aca="false">IF(OR(B269="",F269=""),"",F269/INDEX(Project_Register!$I$6:$I$40,MATCH(B269,Project_Register!$A$6:$A$40,0)))</f>
        <v/>
      </c>
      <c r="N269" s="40" t="str">
        <f aca="false">IF(OR(B269="",G269="",T269="On Hold"),"",G269-INDEX(Project_Register!$H$6:$H$40,MATCH(B269,Project_Register!$A$6:$A$40,0)))</f>
        <v/>
      </c>
      <c r="O269" s="0" t="str">
        <f aca="false">IF(B269="","",IF(D269="","No update",IF(AND(T269&lt;&gt;"Active",D269&lt;1),T269,IF(D269&gt;=1,"Complete",IF(OR(L269&lt;=SV_Red,M269&gt;Cost_Red,N269&gt;Slip_Red),"Red",IF(OR(L269&lt;=SV_Amber,M269&gt;Cost_Amber,N269&gt;Slip_Amber),"Amber","Green"))))))</f>
        <v/>
      </c>
      <c r="P269" s="0" t="str">
        <f aca="false">IF(AND(H269="Green",OR(O269="Amber",O269="Red")),"Watermelon","")</f>
        <v/>
      </c>
      <c r="Q269" s="0" t="str">
        <f aca="false">IF(B269="","",IF(J269="","Missing",IF(J269&gt;A269+UpdateDue,"Late","On time")))</f>
        <v/>
      </c>
      <c r="R269" s="0" t="str">
        <f aca="false">IF(OR(B269="",D269=""),"",IF(COUNTIFS($B$6:$B$400,B269,$A$6:$A$400,EOMONTH(A269,-1))=0,"",IF(D269&lt;SUMIFS($D$6:$D$400,$B$6:$B$400,B269,$A$6:$A$400,EOMONTH(A269,-1)),"Dropped","")))</f>
        <v/>
      </c>
      <c r="S269" s="41" t="str">
        <f aca="false">IF(B269="","",B269&amp;"|"&amp;(YEAR(A269)*100+MONTH(A269)))</f>
        <v/>
      </c>
    </row>
    <row r="270" customFormat="false" ht="15" hidden="false" customHeight="false" outlineLevel="0" collapsed="false">
      <c r="A270" s="37"/>
      <c r="C270" s="0" t="str">
        <f aca="false">IF(B270="","",IFERROR(INDEX(Project_Register!$B$6:$B$40,MATCH(B270,Project_Register!$A$6:$A$40,0)),"Unknown ID"))</f>
        <v/>
      </c>
      <c r="D270" s="38"/>
      <c r="E270" s="24"/>
      <c r="F270" s="24"/>
      <c r="G270" s="39"/>
      <c r="J270" s="39"/>
      <c r="K270" s="38" t="str">
        <f aca="false">IF(OR(B270="",T270="On Hold"),"",MAX(0,MIN(1,(A270-INDEX(Project_Register!$G$6:$G$40,MATCH(B270,Project_Register!$A$6:$A$40,0)))/(INDEX(Project_Register!$H$6:$H$40,MATCH(B270,Project_Register!$A$6:$A$40,0))-INDEX(Project_Register!$G$6:$G$40,MATCH(B270,Project_Register!$A$6:$A$40,0))))))</f>
        <v/>
      </c>
      <c r="L270" s="40" t="str">
        <f aca="false">IF(OR(B270="",D270="",T270="On Hold"),"",ROUND((D270-K270)*100,0))</f>
        <v/>
      </c>
      <c r="M270" s="38" t="str">
        <f aca="false">IF(OR(B270="",F270=""),"",F270/INDEX(Project_Register!$I$6:$I$40,MATCH(B270,Project_Register!$A$6:$A$40,0)))</f>
        <v/>
      </c>
      <c r="N270" s="40" t="str">
        <f aca="false">IF(OR(B270="",G270="",T270="On Hold"),"",G270-INDEX(Project_Register!$H$6:$H$40,MATCH(B270,Project_Register!$A$6:$A$40,0)))</f>
        <v/>
      </c>
      <c r="O270" s="0" t="str">
        <f aca="false">IF(B270="","",IF(D270="","No update",IF(AND(T270&lt;&gt;"Active",D270&lt;1),T270,IF(D270&gt;=1,"Complete",IF(OR(L270&lt;=SV_Red,M270&gt;Cost_Red,N270&gt;Slip_Red),"Red",IF(OR(L270&lt;=SV_Amber,M270&gt;Cost_Amber,N270&gt;Slip_Amber),"Amber","Green"))))))</f>
        <v/>
      </c>
      <c r="P270" s="0" t="str">
        <f aca="false">IF(AND(H270="Green",OR(O270="Amber",O270="Red")),"Watermelon","")</f>
        <v/>
      </c>
      <c r="Q270" s="0" t="str">
        <f aca="false">IF(B270="","",IF(J270="","Missing",IF(J270&gt;A270+UpdateDue,"Late","On time")))</f>
        <v/>
      </c>
      <c r="R270" s="0" t="str">
        <f aca="false">IF(OR(B270="",D270=""),"",IF(COUNTIFS($B$6:$B$400,B270,$A$6:$A$400,EOMONTH(A270,-1))=0,"",IF(D270&lt;SUMIFS($D$6:$D$400,$B$6:$B$400,B270,$A$6:$A$400,EOMONTH(A270,-1)),"Dropped","")))</f>
        <v/>
      </c>
      <c r="S270" s="41" t="str">
        <f aca="false">IF(B270="","",B270&amp;"|"&amp;(YEAR(A270)*100+MONTH(A270)))</f>
        <v/>
      </c>
    </row>
    <row r="271" customFormat="false" ht="15" hidden="false" customHeight="false" outlineLevel="0" collapsed="false">
      <c r="A271" s="37"/>
      <c r="C271" s="0" t="str">
        <f aca="false">IF(B271="","",IFERROR(INDEX(Project_Register!$B$6:$B$40,MATCH(B271,Project_Register!$A$6:$A$40,0)),"Unknown ID"))</f>
        <v/>
      </c>
      <c r="D271" s="38"/>
      <c r="E271" s="24"/>
      <c r="F271" s="24"/>
      <c r="G271" s="39"/>
      <c r="J271" s="39"/>
      <c r="K271" s="38" t="str">
        <f aca="false">IF(OR(B271="",T271="On Hold"),"",MAX(0,MIN(1,(A271-INDEX(Project_Register!$G$6:$G$40,MATCH(B271,Project_Register!$A$6:$A$40,0)))/(INDEX(Project_Register!$H$6:$H$40,MATCH(B271,Project_Register!$A$6:$A$40,0))-INDEX(Project_Register!$G$6:$G$40,MATCH(B271,Project_Register!$A$6:$A$40,0))))))</f>
        <v/>
      </c>
      <c r="L271" s="40" t="str">
        <f aca="false">IF(OR(B271="",D271="",T271="On Hold"),"",ROUND((D271-K271)*100,0))</f>
        <v/>
      </c>
      <c r="M271" s="38" t="str">
        <f aca="false">IF(OR(B271="",F271=""),"",F271/INDEX(Project_Register!$I$6:$I$40,MATCH(B271,Project_Register!$A$6:$A$40,0)))</f>
        <v/>
      </c>
      <c r="N271" s="40" t="str">
        <f aca="false">IF(OR(B271="",G271="",T271="On Hold"),"",G271-INDEX(Project_Register!$H$6:$H$40,MATCH(B271,Project_Register!$A$6:$A$40,0)))</f>
        <v/>
      </c>
      <c r="O271" s="0" t="str">
        <f aca="false">IF(B271="","",IF(D271="","No update",IF(AND(T271&lt;&gt;"Active",D271&lt;1),T271,IF(D271&gt;=1,"Complete",IF(OR(L271&lt;=SV_Red,M271&gt;Cost_Red,N271&gt;Slip_Red),"Red",IF(OR(L271&lt;=SV_Amber,M271&gt;Cost_Amber,N271&gt;Slip_Amber),"Amber","Green"))))))</f>
        <v/>
      </c>
      <c r="P271" s="0" t="str">
        <f aca="false">IF(AND(H271="Green",OR(O271="Amber",O271="Red")),"Watermelon","")</f>
        <v/>
      </c>
      <c r="Q271" s="0" t="str">
        <f aca="false">IF(B271="","",IF(J271="","Missing",IF(J271&gt;A271+UpdateDue,"Late","On time")))</f>
        <v/>
      </c>
      <c r="R271" s="0" t="str">
        <f aca="false">IF(OR(B271="",D271=""),"",IF(COUNTIFS($B$6:$B$400,B271,$A$6:$A$400,EOMONTH(A271,-1))=0,"",IF(D271&lt;SUMIFS($D$6:$D$400,$B$6:$B$400,B271,$A$6:$A$400,EOMONTH(A271,-1)),"Dropped","")))</f>
        <v/>
      </c>
      <c r="S271" s="41" t="str">
        <f aca="false">IF(B271="","",B271&amp;"|"&amp;(YEAR(A271)*100+MONTH(A271)))</f>
        <v/>
      </c>
    </row>
    <row r="272" customFormat="false" ht="15" hidden="false" customHeight="false" outlineLevel="0" collapsed="false">
      <c r="A272" s="37"/>
      <c r="C272" s="0" t="str">
        <f aca="false">IF(B272="","",IFERROR(INDEX(Project_Register!$B$6:$B$40,MATCH(B272,Project_Register!$A$6:$A$40,0)),"Unknown ID"))</f>
        <v/>
      </c>
      <c r="D272" s="38"/>
      <c r="E272" s="24"/>
      <c r="F272" s="24"/>
      <c r="G272" s="39"/>
      <c r="J272" s="39"/>
      <c r="K272" s="38" t="str">
        <f aca="false">IF(OR(B272="",T272="On Hold"),"",MAX(0,MIN(1,(A272-INDEX(Project_Register!$G$6:$G$40,MATCH(B272,Project_Register!$A$6:$A$40,0)))/(INDEX(Project_Register!$H$6:$H$40,MATCH(B272,Project_Register!$A$6:$A$40,0))-INDEX(Project_Register!$G$6:$G$40,MATCH(B272,Project_Register!$A$6:$A$40,0))))))</f>
        <v/>
      </c>
      <c r="L272" s="40" t="str">
        <f aca="false">IF(OR(B272="",D272="",T272="On Hold"),"",ROUND((D272-K272)*100,0))</f>
        <v/>
      </c>
      <c r="M272" s="38" t="str">
        <f aca="false">IF(OR(B272="",F272=""),"",F272/INDEX(Project_Register!$I$6:$I$40,MATCH(B272,Project_Register!$A$6:$A$40,0)))</f>
        <v/>
      </c>
      <c r="N272" s="40" t="str">
        <f aca="false">IF(OR(B272="",G272="",T272="On Hold"),"",G272-INDEX(Project_Register!$H$6:$H$40,MATCH(B272,Project_Register!$A$6:$A$40,0)))</f>
        <v/>
      </c>
      <c r="O272" s="0" t="str">
        <f aca="false">IF(B272="","",IF(D272="","No update",IF(AND(T272&lt;&gt;"Active",D272&lt;1),T272,IF(D272&gt;=1,"Complete",IF(OR(L272&lt;=SV_Red,M272&gt;Cost_Red,N272&gt;Slip_Red),"Red",IF(OR(L272&lt;=SV_Amber,M272&gt;Cost_Amber,N272&gt;Slip_Amber),"Amber","Green"))))))</f>
        <v/>
      </c>
      <c r="P272" s="0" t="str">
        <f aca="false">IF(AND(H272="Green",OR(O272="Amber",O272="Red")),"Watermelon","")</f>
        <v/>
      </c>
      <c r="Q272" s="0" t="str">
        <f aca="false">IF(B272="","",IF(J272="","Missing",IF(J272&gt;A272+UpdateDue,"Late","On time")))</f>
        <v/>
      </c>
      <c r="R272" s="0" t="str">
        <f aca="false">IF(OR(B272="",D272=""),"",IF(COUNTIFS($B$6:$B$400,B272,$A$6:$A$400,EOMONTH(A272,-1))=0,"",IF(D272&lt;SUMIFS($D$6:$D$400,$B$6:$B$400,B272,$A$6:$A$400,EOMONTH(A272,-1)),"Dropped","")))</f>
        <v/>
      </c>
      <c r="S272" s="41" t="str">
        <f aca="false">IF(B272="","",B272&amp;"|"&amp;(YEAR(A272)*100+MONTH(A272)))</f>
        <v/>
      </c>
    </row>
    <row r="273" customFormat="false" ht="15" hidden="false" customHeight="false" outlineLevel="0" collapsed="false">
      <c r="A273" s="37"/>
      <c r="C273" s="0" t="str">
        <f aca="false">IF(B273="","",IFERROR(INDEX(Project_Register!$B$6:$B$40,MATCH(B273,Project_Register!$A$6:$A$40,0)),"Unknown ID"))</f>
        <v/>
      </c>
      <c r="D273" s="38"/>
      <c r="E273" s="24"/>
      <c r="F273" s="24"/>
      <c r="G273" s="39"/>
      <c r="J273" s="39"/>
      <c r="K273" s="38" t="str">
        <f aca="false">IF(OR(B273="",T273="On Hold"),"",MAX(0,MIN(1,(A273-INDEX(Project_Register!$G$6:$G$40,MATCH(B273,Project_Register!$A$6:$A$40,0)))/(INDEX(Project_Register!$H$6:$H$40,MATCH(B273,Project_Register!$A$6:$A$40,0))-INDEX(Project_Register!$G$6:$G$40,MATCH(B273,Project_Register!$A$6:$A$40,0))))))</f>
        <v/>
      </c>
      <c r="L273" s="40" t="str">
        <f aca="false">IF(OR(B273="",D273="",T273="On Hold"),"",ROUND((D273-K273)*100,0))</f>
        <v/>
      </c>
      <c r="M273" s="38" t="str">
        <f aca="false">IF(OR(B273="",F273=""),"",F273/INDEX(Project_Register!$I$6:$I$40,MATCH(B273,Project_Register!$A$6:$A$40,0)))</f>
        <v/>
      </c>
      <c r="N273" s="40" t="str">
        <f aca="false">IF(OR(B273="",G273="",T273="On Hold"),"",G273-INDEX(Project_Register!$H$6:$H$40,MATCH(B273,Project_Register!$A$6:$A$40,0)))</f>
        <v/>
      </c>
      <c r="O273" s="0" t="str">
        <f aca="false">IF(B273="","",IF(D273="","No update",IF(AND(T273&lt;&gt;"Active",D273&lt;1),T273,IF(D273&gt;=1,"Complete",IF(OR(L273&lt;=SV_Red,M273&gt;Cost_Red,N273&gt;Slip_Red),"Red",IF(OR(L273&lt;=SV_Amber,M273&gt;Cost_Amber,N273&gt;Slip_Amber),"Amber","Green"))))))</f>
        <v/>
      </c>
      <c r="P273" s="0" t="str">
        <f aca="false">IF(AND(H273="Green",OR(O273="Amber",O273="Red")),"Watermelon","")</f>
        <v/>
      </c>
      <c r="Q273" s="0" t="str">
        <f aca="false">IF(B273="","",IF(J273="","Missing",IF(J273&gt;A273+UpdateDue,"Late","On time")))</f>
        <v/>
      </c>
      <c r="R273" s="0" t="str">
        <f aca="false">IF(OR(B273="",D273=""),"",IF(COUNTIFS($B$6:$B$400,B273,$A$6:$A$400,EOMONTH(A273,-1))=0,"",IF(D273&lt;SUMIFS($D$6:$D$400,$B$6:$B$400,B273,$A$6:$A$400,EOMONTH(A273,-1)),"Dropped","")))</f>
        <v/>
      </c>
      <c r="S273" s="41" t="str">
        <f aca="false">IF(B273="","",B273&amp;"|"&amp;(YEAR(A273)*100+MONTH(A273)))</f>
        <v/>
      </c>
    </row>
    <row r="274" customFormat="false" ht="15" hidden="false" customHeight="false" outlineLevel="0" collapsed="false">
      <c r="A274" s="37"/>
      <c r="C274" s="0" t="str">
        <f aca="false">IF(B274="","",IFERROR(INDEX(Project_Register!$B$6:$B$40,MATCH(B274,Project_Register!$A$6:$A$40,0)),"Unknown ID"))</f>
        <v/>
      </c>
      <c r="D274" s="38"/>
      <c r="E274" s="24"/>
      <c r="F274" s="24"/>
      <c r="G274" s="39"/>
      <c r="J274" s="39"/>
      <c r="K274" s="38" t="str">
        <f aca="false">IF(OR(B274="",T274="On Hold"),"",MAX(0,MIN(1,(A274-INDEX(Project_Register!$G$6:$G$40,MATCH(B274,Project_Register!$A$6:$A$40,0)))/(INDEX(Project_Register!$H$6:$H$40,MATCH(B274,Project_Register!$A$6:$A$40,0))-INDEX(Project_Register!$G$6:$G$40,MATCH(B274,Project_Register!$A$6:$A$40,0))))))</f>
        <v/>
      </c>
      <c r="L274" s="40" t="str">
        <f aca="false">IF(OR(B274="",D274="",T274="On Hold"),"",ROUND((D274-K274)*100,0))</f>
        <v/>
      </c>
      <c r="M274" s="38" t="str">
        <f aca="false">IF(OR(B274="",F274=""),"",F274/INDEX(Project_Register!$I$6:$I$40,MATCH(B274,Project_Register!$A$6:$A$40,0)))</f>
        <v/>
      </c>
      <c r="N274" s="40" t="str">
        <f aca="false">IF(OR(B274="",G274="",T274="On Hold"),"",G274-INDEX(Project_Register!$H$6:$H$40,MATCH(B274,Project_Register!$A$6:$A$40,0)))</f>
        <v/>
      </c>
      <c r="O274" s="0" t="str">
        <f aca="false">IF(B274="","",IF(D274="","No update",IF(AND(T274&lt;&gt;"Active",D274&lt;1),T274,IF(D274&gt;=1,"Complete",IF(OR(L274&lt;=SV_Red,M274&gt;Cost_Red,N274&gt;Slip_Red),"Red",IF(OR(L274&lt;=SV_Amber,M274&gt;Cost_Amber,N274&gt;Slip_Amber),"Amber","Green"))))))</f>
        <v/>
      </c>
      <c r="P274" s="0" t="str">
        <f aca="false">IF(AND(H274="Green",OR(O274="Amber",O274="Red")),"Watermelon","")</f>
        <v/>
      </c>
      <c r="Q274" s="0" t="str">
        <f aca="false">IF(B274="","",IF(J274="","Missing",IF(J274&gt;A274+UpdateDue,"Late","On time")))</f>
        <v/>
      </c>
      <c r="R274" s="0" t="str">
        <f aca="false">IF(OR(B274="",D274=""),"",IF(COUNTIFS($B$6:$B$400,B274,$A$6:$A$400,EOMONTH(A274,-1))=0,"",IF(D274&lt;SUMIFS($D$6:$D$400,$B$6:$B$400,B274,$A$6:$A$400,EOMONTH(A274,-1)),"Dropped","")))</f>
        <v/>
      </c>
      <c r="S274" s="41" t="str">
        <f aca="false">IF(B274="","",B274&amp;"|"&amp;(YEAR(A274)*100+MONTH(A274)))</f>
        <v/>
      </c>
    </row>
    <row r="275" customFormat="false" ht="15" hidden="false" customHeight="false" outlineLevel="0" collapsed="false">
      <c r="A275" s="37"/>
      <c r="C275" s="0" t="str">
        <f aca="false">IF(B275="","",IFERROR(INDEX(Project_Register!$B$6:$B$40,MATCH(B275,Project_Register!$A$6:$A$40,0)),"Unknown ID"))</f>
        <v/>
      </c>
      <c r="D275" s="38"/>
      <c r="E275" s="24"/>
      <c r="F275" s="24"/>
      <c r="G275" s="39"/>
      <c r="J275" s="39"/>
      <c r="K275" s="38" t="str">
        <f aca="false">IF(OR(B275="",T275="On Hold"),"",MAX(0,MIN(1,(A275-INDEX(Project_Register!$G$6:$G$40,MATCH(B275,Project_Register!$A$6:$A$40,0)))/(INDEX(Project_Register!$H$6:$H$40,MATCH(B275,Project_Register!$A$6:$A$40,0))-INDEX(Project_Register!$G$6:$G$40,MATCH(B275,Project_Register!$A$6:$A$40,0))))))</f>
        <v/>
      </c>
      <c r="L275" s="40" t="str">
        <f aca="false">IF(OR(B275="",D275="",T275="On Hold"),"",ROUND((D275-K275)*100,0))</f>
        <v/>
      </c>
      <c r="M275" s="38" t="str">
        <f aca="false">IF(OR(B275="",F275=""),"",F275/INDEX(Project_Register!$I$6:$I$40,MATCH(B275,Project_Register!$A$6:$A$40,0)))</f>
        <v/>
      </c>
      <c r="N275" s="40" t="str">
        <f aca="false">IF(OR(B275="",G275="",T275="On Hold"),"",G275-INDEX(Project_Register!$H$6:$H$40,MATCH(B275,Project_Register!$A$6:$A$40,0)))</f>
        <v/>
      </c>
      <c r="O275" s="0" t="str">
        <f aca="false">IF(B275="","",IF(D275="","No update",IF(AND(T275&lt;&gt;"Active",D275&lt;1),T275,IF(D275&gt;=1,"Complete",IF(OR(L275&lt;=SV_Red,M275&gt;Cost_Red,N275&gt;Slip_Red),"Red",IF(OR(L275&lt;=SV_Amber,M275&gt;Cost_Amber,N275&gt;Slip_Amber),"Amber","Green"))))))</f>
        <v/>
      </c>
      <c r="P275" s="0" t="str">
        <f aca="false">IF(AND(H275="Green",OR(O275="Amber",O275="Red")),"Watermelon","")</f>
        <v/>
      </c>
      <c r="Q275" s="0" t="str">
        <f aca="false">IF(B275="","",IF(J275="","Missing",IF(J275&gt;A275+UpdateDue,"Late","On time")))</f>
        <v/>
      </c>
      <c r="R275" s="0" t="str">
        <f aca="false">IF(OR(B275="",D275=""),"",IF(COUNTIFS($B$6:$B$400,B275,$A$6:$A$400,EOMONTH(A275,-1))=0,"",IF(D275&lt;SUMIFS($D$6:$D$400,$B$6:$B$400,B275,$A$6:$A$400,EOMONTH(A275,-1)),"Dropped","")))</f>
        <v/>
      </c>
      <c r="S275" s="41" t="str">
        <f aca="false">IF(B275="","",B275&amp;"|"&amp;(YEAR(A275)*100+MONTH(A275)))</f>
        <v/>
      </c>
    </row>
    <row r="276" customFormat="false" ht="15" hidden="false" customHeight="false" outlineLevel="0" collapsed="false">
      <c r="A276" s="37"/>
      <c r="C276" s="0" t="str">
        <f aca="false">IF(B276="","",IFERROR(INDEX(Project_Register!$B$6:$B$40,MATCH(B276,Project_Register!$A$6:$A$40,0)),"Unknown ID"))</f>
        <v/>
      </c>
      <c r="D276" s="38"/>
      <c r="E276" s="24"/>
      <c r="F276" s="24"/>
      <c r="G276" s="39"/>
      <c r="J276" s="39"/>
      <c r="K276" s="38" t="str">
        <f aca="false">IF(OR(B276="",T276="On Hold"),"",MAX(0,MIN(1,(A276-INDEX(Project_Register!$G$6:$G$40,MATCH(B276,Project_Register!$A$6:$A$40,0)))/(INDEX(Project_Register!$H$6:$H$40,MATCH(B276,Project_Register!$A$6:$A$40,0))-INDEX(Project_Register!$G$6:$G$40,MATCH(B276,Project_Register!$A$6:$A$40,0))))))</f>
        <v/>
      </c>
      <c r="L276" s="40" t="str">
        <f aca="false">IF(OR(B276="",D276="",T276="On Hold"),"",ROUND((D276-K276)*100,0))</f>
        <v/>
      </c>
      <c r="M276" s="38" t="str">
        <f aca="false">IF(OR(B276="",F276=""),"",F276/INDEX(Project_Register!$I$6:$I$40,MATCH(B276,Project_Register!$A$6:$A$40,0)))</f>
        <v/>
      </c>
      <c r="N276" s="40" t="str">
        <f aca="false">IF(OR(B276="",G276="",T276="On Hold"),"",G276-INDEX(Project_Register!$H$6:$H$40,MATCH(B276,Project_Register!$A$6:$A$40,0)))</f>
        <v/>
      </c>
      <c r="O276" s="0" t="str">
        <f aca="false">IF(B276="","",IF(D276="","No update",IF(AND(T276&lt;&gt;"Active",D276&lt;1),T276,IF(D276&gt;=1,"Complete",IF(OR(L276&lt;=SV_Red,M276&gt;Cost_Red,N276&gt;Slip_Red),"Red",IF(OR(L276&lt;=SV_Amber,M276&gt;Cost_Amber,N276&gt;Slip_Amber),"Amber","Green"))))))</f>
        <v/>
      </c>
      <c r="P276" s="0" t="str">
        <f aca="false">IF(AND(H276="Green",OR(O276="Amber",O276="Red")),"Watermelon","")</f>
        <v/>
      </c>
      <c r="Q276" s="0" t="str">
        <f aca="false">IF(B276="","",IF(J276="","Missing",IF(J276&gt;A276+UpdateDue,"Late","On time")))</f>
        <v/>
      </c>
      <c r="R276" s="0" t="str">
        <f aca="false">IF(OR(B276="",D276=""),"",IF(COUNTIFS($B$6:$B$400,B276,$A$6:$A$400,EOMONTH(A276,-1))=0,"",IF(D276&lt;SUMIFS($D$6:$D$400,$B$6:$B$400,B276,$A$6:$A$400,EOMONTH(A276,-1)),"Dropped","")))</f>
        <v/>
      </c>
      <c r="S276" s="41" t="str">
        <f aca="false">IF(B276="","",B276&amp;"|"&amp;(YEAR(A276)*100+MONTH(A276)))</f>
        <v/>
      </c>
    </row>
    <row r="277" customFormat="false" ht="15" hidden="false" customHeight="false" outlineLevel="0" collapsed="false">
      <c r="A277" s="37"/>
      <c r="C277" s="0" t="str">
        <f aca="false">IF(B277="","",IFERROR(INDEX(Project_Register!$B$6:$B$40,MATCH(B277,Project_Register!$A$6:$A$40,0)),"Unknown ID"))</f>
        <v/>
      </c>
      <c r="D277" s="38"/>
      <c r="E277" s="24"/>
      <c r="F277" s="24"/>
      <c r="G277" s="39"/>
      <c r="J277" s="39"/>
      <c r="K277" s="38" t="str">
        <f aca="false">IF(OR(B277="",T277="On Hold"),"",MAX(0,MIN(1,(A277-INDEX(Project_Register!$G$6:$G$40,MATCH(B277,Project_Register!$A$6:$A$40,0)))/(INDEX(Project_Register!$H$6:$H$40,MATCH(B277,Project_Register!$A$6:$A$40,0))-INDEX(Project_Register!$G$6:$G$40,MATCH(B277,Project_Register!$A$6:$A$40,0))))))</f>
        <v/>
      </c>
      <c r="L277" s="40" t="str">
        <f aca="false">IF(OR(B277="",D277="",T277="On Hold"),"",ROUND((D277-K277)*100,0))</f>
        <v/>
      </c>
      <c r="M277" s="38" t="str">
        <f aca="false">IF(OR(B277="",F277=""),"",F277/INDEX(Project_Register!$I$6:$I$40,MATCH(B277,Project_Register!$A$6:$A$40,0)))</f>
        <v/>
      </c>
      <c r="N277" s="40" t="str">
        <f aca="false">IF(OR(B277="",G277="",T277="On Hold"),"",G277-INDEX(Project_Register!$H$6:$H$40,MATCH(B277,Project_Register!$A$6:$A$40,0)))</f>
        <v/>
      </c>
      <c r="O277" s="0" t="str">
        <f aca="false">IF(B277="","",IF(D277="","No update",IF(AND(T277&lt;&gt;"Active",D277&lt;1),T277,IF(D277&gt;=1,"Complete",IF(OR(L277&lt;=SV_Red,M277&gt;Cost_Red,N277&gt;Slip_Red),"Red",IF(OR(L277&lt;=SV_Amber,M277&gt;Cost_Amber,N277&gt;Slip_Amber),"Amber","Green"))))))</f>
        <v/>
      </c>
      <c r="P277" s="0" t="str">
        <f aca="false">IF(AND(H277="Green",OR(O277="Amber",O277="Red")),"Watermelon","")</f>
        <v/>
      </c>
      <c r="Q277" s="0" t="str">
        <f aca="false">IF(B277="","",IF(J277="","Missing",IF(J277&gt;A277+UpdateDue,"Late","On time")))</f>
        <v/>
      </c>
      <c r="R277" s="0" t="str">
        <f aca="false">IF(OR(B277="",D277=""),"",IF(COUNTIFS($B$6:$B$400,B277,$A$6:$A$400,EOMONTH(A277,-1))=0,"",IF(D277&lt;SUMIFS($D$6:$D$400,$B$6:$B$400,B277,$A$6:$A$400,EOMONTH(A277,-1)),"Dropped","")))</f>
        <v/>
      </c>
      <c r="S277" s="41" t="str">
        <f aca="false">IF(B277="","",B277&amp;"|"&amp;(YEAR(A277)*100+MONTH(A277)))</f>
        <v/>
      </c>
    </row>
    <row r="278" customFormat="false" ht="15" hidden="false" customHeight="false" outlineLevel="0" collapsed="false">
      <c r="A278" s="37"/>
      <c r="C278" s="0" t="str">
        <f aca="false">IF(B278="","",IFERROR(INDEX(Project_Register!$B$6:$B$40,MATCH(B278,Project_Register!$A$6:$A$40,0)),"Unknown ID"))</f>
        <v/>
      </c>
      <c r="D278" s="38"/>
      <c r="E278" s="24"/>
      <c r="F278" s="24"/>
      <c r="G278" s="39"/>
      <c r="J278" s="39"/>
      <c r="K278" s="38" t="str">
        <f aca="false">IF(OR(B278="",T278="On Hold"),"",MAX(0,MIN(1,(A278-INDEX(Project_Register!$G$6:$G$40,MATCH(B278,Project_Register!$A$6:$A$40,0)))/(INDEX(Project_Register!$H$6:$H$40,MATCH(B278,Project_Register!$A$6:$A$40,0))-INDEX(Project_Register!$G$6:$G$40,MATCH(B278,Project_Register!$A$6:$A$40,0))))))</f>
        <v/>
      </c>
      <c r="L278" s="40" t="str">
        <f aca="false">IF(OR(B278="",D278="",T278="On Hold"),"",ROUND((D278-K278)*100,0))</f>
        <v/>
      </c>
      <c r="M278" s="38" t="str">
        <f aca="false">IF(OR(B278="",F278=""),"",F278/INDEX(Project_Register!$I$6:$I$40,MATCH(B278,Project_Register!$A$6:$A$40,0)))</f>
        <v/>
      </c>
      <c r="N278" s="40" t="str">
        <f aca="false">IF(OR(B278="",G278="",T278="On Hold"),"",G278-INDEX(Project_Register!$H$6:$H$40,MATCH(B278,Project_Register!$A$6:$A$40,0)))</f>
        <v/>
      </c>
      <c r="O278" s="0" t="str">
        <f aca="false">IF(B278="","",IF(D278="","No update",IF(AND(T278&lt;&gt;"Active",D278&lt;1),T278,IF(D278&gt;=1,"Complete",IF(OR(L278&lt;=SV_Red,M278&gt;Cost_Red,N278&gt;Slip_Red),"Red",IF(OR(L278&lt;=SV_Amber,M278&gt;Cost_Amber,N278&gt;Slip_Amber),"Amber","Green"))))))</f>
        <v/>
      </c>
      <c r="P278" s="0" t="str">
        <f aca="false">IF(AND(H278="Green",OR(O278="Amber",O278="Red")),"Watermelon","")</f>
        <v/>
      </c>
      <c r="Q278" s="0" t="str">
        <f aca="false">IF(B278="","",IF(J278="","Missing",IF(J278&gt;A278+UpdateDue,"Late","On time")))</f>
        <v/>
      </c>
      <c r="R278" s="0" t="str">
        <f aca="false">IF(OR(B278="",D278=""),"",IF(COUNTIFS($B$6:$B$400,B278,$A$6:$A$400,EOMONTH(A278,-1))=0,"",IF(D278&lt;SUMIFS($D$6:$D$400,$B$6:$B$400,B278,$A$6:$A$400,EOMONTH(A278,-1)),"Dropped","")))</f>
        <v/>
      </c>
      <c r="S278" s="41" t="str">
        <f aca="false">IF(B278="","",B278&amp;"|"&amp;(YEAR(A278)*100+MONTH(A278)))</f>
        <v/>
      </c>
    </row>
    <row r="279" customFormat="false" ht="15" hidden="false" customHeight="false" outlineLevel="0" collapsed="false">
      <c r="A279" s="37"/>
      <c r="C279" s="0" t="str">
        <f aca="false">IF(B279="","",IFERROR(INDEX(Project_Register!$B$6:$B$40,MATCH(B279,Project_Register!$A$6:$A$40,0)),"Unknown ID"))</f>
        <v/>
      </c>
      <c r="D279" s="38"/>
      <c r="E279" s="24"/>
      <c r="F279" s="24"/>
      <c r="G279" s="39"/>
      <c r="J279" s="39"/>
      <c r="K279" s="38" t="str">
        <f aca="false">IF(OR(B279="",T279="On Hold"),"",MAX(0,MIN(1,(A279-INDEX(Project_Register!$G$6:$G$40,MATCH(B279,Project_Register!$A$6:$A$40,0)))/(INDEX(Project_Register!$H$6:$H$40,MATCH(B279,Project_Register!$A$6:$A$40,0))-INDEX(Project_Register!$G$6:$G$40,MATCH(B279,Project_Register!$A$6:$A$40,0))))))</f>
        <v/>
      </c>
      <c r="L279" s="40" t="str">
        <f aca="false">IF(OR(B279="",D279="",T279="On Hold"),"",ROUND((D279-K279)*100,0))</f>
        <v/>
      </c>
      <c r="M279" s="38" t="str">
        <f aca="false">IF(OR(B279="",F279=""),"",F279/INDEX(Project_Register!$I$6:$I$40,MATCH(B279,Project_Register!$A$6:$A$40,0)))</f>
        <v/>
      </c>
      <c r="N279" s="40" t="str">
        <f aca="false">IF(OR(B279="",G279="",T279="On Hold"),"",G279-INDEX(Project_Register!$H$6:$H$40,MATCH(B279,Project_Register!$A$6:$A$40,0)))</f>
        <v/>
      </c>
      <c r="O279" s="0" t="str">
        <f aca="false">IF(B279="","",IF(D279="","No update",IF(AND(T279&lt;&gt;"Active",D279&lt;1),T279,IF(D279&gt;=1,"Complete",IF(OR(L279&lt;=SV_Red,M279&gt;Cost_Red,N279&gt;Slip_Red),"Red",IF(OR(L279&lt;=SV_Amber,M279&gt;Cost_Amber,N279&gt;Slip_Amber),"Amber","Green"))))))</f>
        <v/>
      </c>
      <c r="P279" s="0" t="str">
        <f aca="false">IF(AND(H279="Green",OR(O279="Amber",O279="Red")),"Watermelon","")</f>
        <v/>
      </c>
      <c r="Q279" s="0" t="str">
        <f aca="false">IF(B279="","",IF(J279="","Missing",IF(J279&gt;A279+UpdateDue,"Late","On time")))</f>
        <v/>
      </c>
      <c r="R279" s="0" t="str">
        <f aca="false">IF(OR(B279="",D279=""),"",IF(COUNTIFS($B$6:$B$400,B279,$A$6:$A$400,EOMONTH(A279,-1))=0,"",IF(D279&lt;SUMIFS($D$6:$D$400,$B$6:$B$400,B279,$A$6:$A$400,EOMONTH(A279,-1)),"Dropped","")))</f>
        <v/>
      </c>
      <c r="S279" s="41" t="str">
        <f aca="false">IF(B279="","",B279&amp;"|"&amp;(YEAR(A279)*100+MONTH(A279)))</f>
        <v/>
      </c>
    </row>
    <row r="280" customFormat="false" ht="15" hidden="false" customHeight="false" outlineLevel="0" collapsed="false">
      <c r="A280" s="37"/>
      <c r="C280" s="0" t="str">
        <f aca="false">IF(B280="","",IFERROR(INDEX(Project_Register!$B$6:$B$40,MATCH(B280,Project_Register!$A$6:$A$40,0)),"Unknown ID"))</f>
        <v/>
      </c>
      <c r="D280" s="38"/>
      <c r="E280" s="24"/>
      <c r="F280" s="24"/>
      <c r="G280" s="39"/>
      <c r="J280" s="39"/>
      <c r="K280" s="38" t="str">
        <f aca="false">IF(OR(B280="",T280="On Hold"),"",MAX(0,MIN(1,(A280-INDEX(Project_Register!$G$6:$G$40,MATCH(B280,Project_Register!$A$6:$A$40,0)))/(INDEX(Project_Register!$H$6:$H$40,MATCH(B280,Project_Register!$A$6:$A$40,0))-INDEX(Project_Register!$G$6:$G$40,MATCH(B280,Project_Register!$A$6:$A$40,0))))))</f>
        <v/>
      </c>
      <c r="L280" s="40" t="str">
        <f aca="false">IF(OR(B280="",D280="",T280="On Hold"),"",ROUND((D280-K280)*100,0))</f>
        <v/>
      </c>
      <c r="M280" s="38" t="str">
        <f aca="false">IF(OR(B280="",F280=""),"",F280/INDEX(Project_Register!$I$6:$I$40,MATCH(B280,Project_Register!$A$6:$A$40,0)))</f>
        <v/>
      </c>
      <c r="N280" s="40" t="str">
        <f aca="false">IF(OR(B280="",G280="",T280="On Hold"),"",G280-INDEX(Project_Register!$H$6:$H$40,MATCH(B280,Project_Register!$A$6:$A$40,0)))</f>
        <v/>
      </c>
      <c r="O280" s="0" t="str">
        <f aca="false">IF(B280="","",IF(D280="","No update",IF(AND(T280&lt;&gt;"Active",D280&lt;1),T280,IF(D280&gt;=1,"Complete",IF(OR(L280&lt;=SV_Red,M280&gt;Cost_Red,N280&gt;Slip_Red),"Red",IF(OR(L280&lt;=SV_Amber,M280&gt;Cost_Amber,N280&gt;Slip_Amber),"Amber","Green"))))))</f>
        <v/>
      </c>
      <c r="P280" s="0" t="str">
        <f aca="false">IF(AND(H280="Green",OR(O280="Amber",O280="Red")),"Watermelon","")</f>
        <v/>
      </c>
      <c r="Q280" s="0" t="str">
        <f aca="false">IF(B280="","",IF(J280="","Missing",IF(J280&gt;A280+UpdateDue,"Late","On time")))</f>
        <v/>
      </c>
      <c r="R280" s="0" t="str">
        <f aca="false">IF(OR(B280="",D280=""),"",IF(COUNTIFS($B$6:$B$400,B280,$A$6:$A$400,EOMONTH(A280,-1))=0,"",IF(D280&lt;SUMIFS($D$6:$D$400,$B$6:$B$400,B280,$A$6:$A$400,EOMONTH(A280,-1)),"Dropped","")))</f>
        <v/>
      </c>
      <c r="S280" s="41" t="str">
        <f aca="false">IF(B280="","",B280&amp;"|"&amp;(YEAR(A280)*100+MONTH(A280)))</f>
        <v/>
      </c>
    </row>
    <row r="281" customFormat="false" ht="15" hidden="false" customHeight="false" outlineLevel="0" collapsed="false">
      <c r="A281" s="37"/>
      <c r="C281" s="0" t="str">
        <f aca="false">IF(B281="","",IFERROR(INDEX(Project_Register!$B$6:$B$40,MATCH(B281,Project_Register!$A$6:$A$40,0)),"Unknown ID"))</f>
        <v/>
      </c>
      <c r="D281" s="38"/>
      <c r="E281" s="24"/>
      <c r="F281" s="24"/>
      <c r="G281" s="39"/>
      <c r="J281" s="39"/>
      <c r="K281" s="38" t="str">
        <f aca="false">IF(OR(B281="",T281="On Hold"),"",MAX(0,MIN(1,(A281-INDEX(Project_Register!$G$6:$G$40,MATCH(B281,Project_Register!$A$6:$A$40,0)))/(INDEX(Project_Register!$H$6:$H$40,MATCH(B281,Project_Register!$A$6:$A$40,0))-INDEX(Project_Register!$G$6:$G$40,MATCH(B281,Project_Register!$A$6:$A$40,0))))))</f>
        <v/>
      </c>
      <c r="L281" s="40" t="str">
        <f aca="false">IF(OR(B281="",D281="",T281="On Hold"),"",ROUND((D281-K281)*100,0))</f>
        <v/>
      </c>
      <c r="M281" s="38" t="str">
        <f aca="false">IF(OR(B281="",F281=""),"",F281/INDEX(Project_Register!$I$6:$I$40,MATCH(B281,Project_Register!$A$6:$A$40,0)))</f>
        <v/>
      </c>
      <c r="N281" s="40" t="str">
        <f aca="false">IF(OR(B281="",G281="",T281="On Hold"),"",G281-INDEX(Project_Register!$H$6:$H$40,MATCH(B281,Project_Register!$A$6:$A$40,0)))</f>
        <v/>
      </c>
      <c r="O281" s="0" t="str">
        <f aca="false">IF(B281="","",IF(D281="","No update",IF(AND(T281&lt;&gt;"Active",D281&lt;1),T281,IF(D281&gt;=1,"Complete",IF(OR(L281&lt;=SV_Red,M281&gt;Cost_Red,N281&gt;Slip_Red),"Red",IF(OR(L281&lt;=SV_Amber,M281&gt;Cost_Amber,N281&gt;Slip_Amber),"Amber","Green"))))))</f>
        <v/>
      </c>
      <c r="P281" s="0" t="str">
        <f aca="false">IF(AND(H281="Green",OR(O281="Amber",O281="Red")),"Watermelon","")</f>
        <v/>
      </c>
      <c r="Q281" s="0" t="str">
        <f aca="false">IF(B281="","",IF(J281="","Missing",IF(J281&gt;A281+UpdateDue,"Late","On time")))</f>
        <v/>
      </c>
      <c r="R281" s="0" t="str">
        <f aca="false">IF(OR(B281="",D281=""),"",IF(COUNTIFS($B$6:$B$400,B281,$A$6:$A$400,EOMONTH(A281,-1))=0,"",IF(D281&lt;SUMIFS($D$6:$D$400,$B$6:$B$400,B281,$A$6:$A$400,EOMONTH(A281,-1)),"Dropped","")))</f>
        <v/>
      </c>
      <c r="S281" s="41" t="str">
        <f aca="false">IF(B281="","",B281&amp;"|"&amp;(YEAR(A281)*100+MONTH(A281)))</f>
        <v/>
      </c>
    </row>
    <row r="282" customFormat="false" ht="15" hidden="false" customHeight="false" outlineLevel="0" collapsed="false">
      <c r="A282" s="37"/>
      <c r="C282" s="0" t="str">
        <f aca="false">IF(B282="","",IFERROR(INDEX(Project_Register!$B$6:$B$40,MATCH(B282,Project_Register!$A$6:$A$40,0)),"Unknown ID"))</f>
        <v/>
      </c>
      <c r="D282" s="38"/>
      <c r="E282" s="24"/>
      <c r="F282" s="24"/>
      <c r="G282" s="39"/>
      <c r="J282" s="39"/>
      <c r="K282" s="38" t="str">
        <f aca="false">IF(OR(B282="",T282="On Hold"),"",MAX(0,MIN(1,(A282-INDEX(Project_Register!$G$6:$G$40,MATCH(B282,Project_Register!$A$6:$A$40,0)))/(INDEX(Project_Register!$H$6:$H$40,MATCH(B282,Project_Register!$A$6:$A$40,0))-INDEX(Project_Register!$G$6:$G$40,MATCH(B282,Project_Register!$A$6:$A$40,0))))))</f>
        <v/>
      </c>
      <c r="L282" s="40" t="str">
        <f aca="false">IF(OR(B282="",D282="",T282="On Hold"),"",ROUND((D282-K282)*100,0))</f>
        <v/>
      </c>
      <c r="M282" s="38" t="str">
        <f aca="false">IF(OR(B282="",F282=""),"",F282/INDEX(Project_Register!$I$6:$I$40,MATCH(B282,Project_Register!$A$6:$A$40,0)))</f>
        <v/>
      </c>
      <c r="N282" s="40" t="str">
        <f aca="false">IF(OR(B282="",G282="",T282="On Hold"),"",G282-INDEX(Project_Register!$H$6:$H$40,MATCH(B282,Project_Register!$A$6:$A$40,0)))</f>
        <v/>
      </c>
      <c r="O282" s="0" t="str">
        <f aca="false">IF(B282="","",IF(D282="","No update",IF(AND(T282&lt;&gt;"Active",D282&lt;1),T282,IF(D282&gt;=1,"Complete",IF(OR(L282&lt;=SV_Red,M282&gt;Cost_Red,N282&gt;Slip_Red),"Red",IF(OR(L282&lt;=SV_Amber,M282&gt;Cost_Amber,N282&gt;Slip_Amber),"Amber","Green"))))))</f>
        <v/>
      </c>
      <c r="P282" s="0" t="str">
        <f aca="false">IF(AND(H282="Green",OR(O282="Amber",O282="Red")),"Watermelon","")</f>
        <v/>
      </c>
      <c r="Q282" s="0" t="str">
        <f aca="false">IF(B282="","",IF(J282="","Missing",IF(J282&gt;A282+UpdateDue,"Late","On time")))</f>
        <v/>
      </c>
      <c r="R282" s="0" t="str">
        <f aca="false">IF(OR(B282="",D282=""),"",IF(COUNTIFS($B$6:$B$400,B282,$A$6:$A$400,EOMONTH(A282,-1))=0,"",IF(D282&lt;SUMIFS($D$6:$D$400,$B$6:$B$400,B282,$A$6:$A$400,EOMONTH(A282,-1)),"Dropped","")))</f>
        <v/>
      </c>
      <c r="S282" s="41" t="str">
        <f aca="false">IF(B282="","",B282&amp;"|"&amp;(YEAR(A282)*100+MONTH(A282)))</f>
        <v/>
      </c>
    </row>
    <row r="283" customFormat="false" ht="15" hidden="false" customHeight="false" outlineLevel="0" collapsed="false">
      <c r="A283" s="37"/>
      <c r="C283" s="0" t="str">
        <f aca="false">IF(B283="","",IFERROR(INDEX(Project_Register!$B$6:$B$40,MATCH(B283,Project_Register!$A$6:$A$40,0)),"Unknown ID"))</f>
        <v/>
      </c>
      <c r="D283" s="38"/>
      <c r="E283" s="24"/>
      <c r="F283" s="24"/>
      <c r="G283" s="39"/>
      <c r="J283" s="39"/>
      <c r="K283" s="38" t="str">
        <f aca="false">IF(OR(B283="",T283="On Hold"),"",MAX(0,MIN(1,(A283-INDEX(Project_Register!$G$6:$G$40,MATCH(B283,Project_Register!$A$6:$A$40,0)))/(INDEX(Project_Register!$H$6:$H$40,MATCH(B283,Project_Register!$A$6:$A$40,0))-INDEX(Project_Register!$G$6:$G$40,MATCH(B283,Project_Register!$A$6:$A$40,0))))))</f>
        <v/>
      </c>
      <c r="L283" s="40" t="str">
        <f aca="false">IF(OR(B283="",D283="",T283="On Hold"),"",ROUND((D283-K283)*100,0))</f>
        <v/>
      </c>
      <c r="M283" s="38" t="str">
        <f aca="false">IF(OR(B283="",F283=""),"",F283/INDEX(Project_Register!$I$6:$I$40,MATCH(B283,Project_Register!$A$6:$A$40,0)))</f>
        <v/>
      </c>
      <c r="N283" s="40" t="str">
        <f aca="false">IF(OR(B283="",G283="",T283="On Hold"),"",G283-INDEX(Project_Register!$H$6:$H$40,MATCH(B283,Project_Register!$A$6:$A$40,0)))</f>
        <v/>
      </c>
      <c r="O283" s="0" t="str">
        <f aca="false">IF(B283="","",IF(D283="","No update",IF(AND(T283&lt;&gt;"Active",D283&lt;1),T283,IF(D283&gt;=1,"Complete",IF(OR(L283&lt;=SV_Red,M283&gt;Cost_Red,N283&gt;Slip_Red),"Red",IF(OR(L283&lt;=SV_Amber,M283&gt;Cost_Amber,N283&gt;Slip_Amber),"Amber","Green"))))))</f>
        <v/>
      </c>
      <c r="P283" s="0" t="str">
        <f aca="false">IF(AND(H283="Green",OR(O283="Amber",O283="Red")),"Watermelon","")</f>
        <v/>
      </c>
      <c r="Q283" s="0" t="str">
        <f aca="false">IF(B283="","",IF(J283="","Missing",IF(J283&gt;A283+UpdateDue,"Late","On time")))</f>
        <v/>
      </c>
      <c r="R283" s="0" t="str">
        <f aca="false">IF(OR(B283="",D283=""),"",IF(COUNTIFS($B$6:$B$400,B283,$A$6:$A$400,EOMONTH(A283,-1))=0,"",IF(D283&lt;SUMIFS($D$6:$D$400,$B$6:$B$400,B283,$A$6:$A$400,EOMONTH(A283,-1)),"Dropped","")))</f>
        <v/>
      </c>
      <c r="S283" s="41" t="str">
        <f aca="false">IF(B283="","",B283&amp;"|"&amp;(YEAR(A283)*100+MONTH(A283)))</f>
        <v/>
      </c>
    </row>
    <row r="284" customFormat="false" ht="15" hidden="false" customHeight="false" outlineLevel="0" collapsed="false">
      <c r="A284" s="37"/>
      <c r="C284" s="0" t="str">
        <f aca="false">IF(B284="","",IFERROR(INDEX(Project_Register!$B$6:$B$40,MATCH(B284,Project_Register!$A$6:$A$40,0)),"Unknown ID"))</f>
        <v/>
      </c>
      <c r="D284" s="38"/>
      <c r="E284" s="24"/>
      <c r="F284" s="24"/>
      <c r="G284" s="39"/>
      <c r="J284" s="39"/>
      <c r="K284" s="38" t="str">
        <f aca="false">IF(OR(B284="",T284="On Hold"),"",MAX(0,MIN(1,(A284-INDEX(Project_Register!$G$6:$G$40,MATCH(B284,Project_Register!$A$6:$A$40,0)))/(INDEX(Project_Register!$H$6:$H$40,MATCH(B284,Project_Register!$A$6:$A$40,0))-INDEX(Project_Register!$G$6:$G$40,MATCH(B284,Project_Register!$A$6:$A$40,0))))))</f>
        <v/>
      </c>
      <c r="L284" s="40" t="str">
        <f aca="false">IF(OR(B284="",D284="",T284="On Hold"),"",ROUND((D284-K284)*100,0))</f>
        <v/>
      </c>
      <c r="M284" s="38" t="str">
        <f aca="false">IF(OR(B284="",F284=""),"",F284/INDEX(Project_Register!$I$6:$I$40,MATCH(B284,Project_Register!$A$6:$A$40,0)))</f>
        <v/>
      </c>
      <c r="N284" s="40" t="str">
        <f aca="false">IF(OR(B284="",G284="",T284="On Hold"),"",G284-INDEX(Project_Register!$H$6:$H$40,MATCH(B284,Project_Register!$A$6:$A$40,0)))</f>
        <v/>
      </c>
      <c r="O284" s="0" t="str">
        <f aca="false">IF(B284="","",IF(D284="","No update",IF(AND(T284&lt;&gt;"Active",D284&lt;1),T284,IF(D284&gt;=1,"Complete",IF(OR(L284&lt;=SV_Red,M284&gt;Cost_Red,N284&gt;Slip_Red),"Red",IF(OR(L284&lt;=SV_Amber,M284&gt;Cost_Amber,N284&gt;Slip_Amber),"Amber","Green"))))))</f>
        <v/>
      </c>
      <c r="P284" s="0" t="str">
        <f aca="false">IF(AND(H284="Green",OR(O284="Amber",O284="Red")),"Watermelon","")</f>
        <v/>
      </c>
      <c r="Q284" s="0" t="str">
        <f aca="false">IF(B284="","",IF(J284="","Missing",IF(J284&gt;A284+UpdateDue,"Late","On time")))</f>
        <v/>
      </c>
      <c r="R284" s="0" t="str">
        <f aca="false">IF(OR(B284="",D284=""),"",IF(COUNTIFS($B$6:$B$400,B284,$A$6:$A$400,EOMONTH(A284,-1))=0,"",IF(D284&lt;SUMIFS($D$6:$D$400,$B$6:$B$400,B284,$A$6:$A$400,EOMONTH(A284,-1)),"Dropped","")))</f>
        <v/>
      </c>
      <c r="S284" s="41" t="str">
        <f aca="false">IF(B284="","",B284&amp;"|"&amp;(YEAR(A284)*100+MONTH(A284)))</f>
        <v/>
      </c>
    </row>
    <row r="285" customFormat="false" ht="15" hidden="false" customHeight="false" outlineLevel="0" collapsed="false">
      <c r="A285" s="37"/>
      <c r="C285" s="0" t="str">
        <f aca="false">IF(B285="","",IFERROR(INDEX(Project_Register!$B$6:$B$40,MATCH(B285,Project_Register!$A$6:$A$40,0)),"Unknown ID"))</f>
        <v/>
      </c>
      <c r="D285" s="38"/>
      <c r="E285" s="24"/>
      <c r="F285" s="24"/>
      <c r="G285" s="39"/>
      <c r="J285" s="39"/>
      <c r="K285" s="38" t="str">
        <f aca="false">IF(OR(B285="",T285="On Hold"),"",MAX(0,MIN(1,(A285-INDEX(Project_Register!$G$6:$G$40,MATCH(B285,Project_Register!$A$6:$A$40,0)))/(INDEX(Project_Register!$H$6:$H$40,MATCH(B285,Project_Register!$A$6:$A$40,0))-INDEX(Project_Register!$G$6:$G$40,MATCH(B285,Project_Register!$A$6:$A$40,0))))))</f>
        <v/>
      </c>
      <c r="L285" s="40" t="str">
        <f aca="false">IF(OR(B285="",D285="",T285="On Hold"),"",ROUND((D285-K285)*100,0))</f>
        <v/>
      </c>
      <c r="M285" s="38" t="str">
        <f aca="false">IF(OR(B285="",F285=""),"",F285/INDEX(Project_Register!$I$6:$I$40,MATCH(B285,Project_Register!$A$6:$A$40,0)))</f>
        <v/>
      </c>
      <c r="N285" s="40" t="str">
        <f aca="false">IF(OR(B285="",G285="",T285="On Hold"),"",G285-INDEX(Project_Register!$H$6:$H$40,MATCH(B285,Project_Register!$A$6:$A$40,0)))</f>
        <v/>
      </c>
      <c r="O285" s="0" t="str">
        <f aca="false">IF(B285="","",IF(D285="","No update",IF(AND(T285&lt;&gt;"Active",D285&lt;1),T285,IF(D285&gt;=1,"Complete",IF(OR(L285&lt;=SV_Red,M285&gt;Cost_Red,N285&gt;Slip_Red),"Red",IF(OR(L285&lt;=SV_Amber,M285&gt;Cost_Amber,N285&gt;Slip_Amber),"Amber","Green"))))))</f>
        <v/>
      </c>
      <c r="P285" s="0" t="str">
        <f aca="false">IF(AND(H285="Green",OR(O285="Amber",O285="Red")),"Watermelon","")</f>
        <v/>
      </c>
      <c r="Q285" s="0" t="str">
        <f aca="false">IF(B285="","",IF(J285="","Missing",IF(J285&gt;A285+UpdateDue,"Late","On time")))</f>
        <v/>
      </c>
      <c r="R285" s="0" t="str">
        <f aca="false">IF(OR(B285="",D285=""),"",IF(COUNTIFS($B$6:$B$400,B285,$A$6:$A$400,EOMONTH(A285,-1))=0,"",IF(D285&lt;SUMIFS($D$6:$D$400,$B$6:$B$400,B285,$A$6:$A$400,EOMONTH(A285,-1)),"Dropped","")))</f>
        <v/>
      </c>
      <c r="S285" s="41" t="str">
        <f aca="false">IF(B285="","",B285&amp;"|"&amp;(YEAR(A285)*100+MONTH(A285)))</f>
        <v/>
      </c>
    </row>
    <row r="286" customFormat="false" ht="15" hidden="false" customHeight="false" outlineLevel="0" collapsed="false">
      <c r="A286" s="37"/>
      <c r="C286" s="0" t="str">
        <f aca="false">IF(B286="","",IFERROR(INDEX(Project_Register!$B$6:$B$40,MATCH(B286,Project_Register!$A$6:$A$40,0)),"Unknown ID"))</f>
        <v/>
      </c>
      <c r="D286" s="38"/>
      <c r="E286" s="24"/>
      <c r="F286" s="24"/>
      <c r="G286" s="39"/>
      <c r="J286" s="39"/>
      <c r="K286" s="38" t="str">
        <f aca="false">IF(OR(B286="",T286="On Hold"),"",MAX(0,MIN(1,(A286-INDEX(Project_Register!$G$6:$G$40,MATCH(B286,Project_Register!$A$6:$A$40,0)))/(INDEX(Project_Register!$H$6:$H$40,MATCH(B286,Project_Register!$A$6:$A$40,0))-INDEX(Project_Register!$G$6:$G$40,MATCH(B286,Project_Register!$A$6:$A$40,0))))))</f>
        <v/>
      </c>
      <c r="L286" s="40" t="str">
        <f aca="false">IF(OR(B286="",D286="",T286="On Hold"),"",ROUND((D286-K286)*100,0))</f>
        <v/>
      </c>
      <c r="M286" s="38" t="str">
        <f aca="false">IF(OR(B286="",F286=""),"",F286/INDEX(Project_Register!$I$6:$I$40,MATCH(B286,Project_Register!$A$6:$A$40,0)))</f>
        <v/>
      </c>
      <c r="N286" s="40" t="str">
        <f aca="false">IF(OR(B286="",G286="",T286="On Hold"),"",G286-INDEX(Project_Register!$H$6:$H$40,MATCH(B286,Project_Register!$A$6:$A$40,0)))</f>
        <v/>
      </c>
      <c r="O286" s="0" t="str">
        <f aca="false">IF(B286="","",IF(D286="","No update",IF(AND(T286&lt;&gt;"Active",D286&lt;1),T286,IF(D286&gt;=1,"Complete",IF(OR(L286&lt;=SV_Red,M286&gt;Cost_Red,N286&gt;Slip_Red),"Red",IF(OR(L286&lt;=SV_Amber,M286&gt;Cost_Amber,N286&gt;Slip_Amber),"Amber","Green"))))))</f>
        <v/>
      </c>
      <c r="P286" s="0" t="str">
        <f aca="false">IF(AND(H286="Green",OR(O286="Amber",O286="Red")),"Watermelon","")</f>
        <v/>
      </c>
      <c r="Q286" s="0" t="str">
        <f aca="false">IF(B286="","",IF(J286="","Missing",IF(J286&gt;A286+UpdateDue,"Late","On time")))</f>
        <v/>
      </c>
      <c r="R286" s="0" t="str">
        <f aca="false">IF(OR(B286="",D286=""),"",IF(COUNTIFS($B$6:$B$400,B286,$A$6:$A$400,EOMONTH(A286,-1))=0,"",IF(D286&lt;SUMIFS($D$6:$D$400,$B$6:$B$400,B286,$A$6:$A$400,EOMONTH(A286,-1)),"Dropped","")))</f>
        <v/>
      </c>
      <c r="S286" s="41" t="str">
        <f aca="false">IF(B286="","",B286&amp;"|"&amp;(YEAR(A286)*100+MONTH(A286)))</f>
        <v/>
      </c>
    </row>
    <row r="287" customFormat="false" ht="15" hidden="false" customHeight="false" outlineLevel="0" collapsed="false">
      <c r="A287" s="37"/>
      <c r="C287" s="0" t="str">
        <f aca="false">IF(B287="","",IFERROR(INDEX(Project_Register!$B$6:$B$40,MATCH(B287,Project_Register!$A$6:$A$40,0)),"Unknown ID"))</f>
        <v/>
      </c>
      <c r="D287" s="38"/>
      <c r="E287" s="24"/>
      <c r="F287" s="24"/>
      <c r="G287" s="39"/>
      <c r="J287" s="39"/>
      <c r="K287" s="38" t="str">
        <f aca="false">IF(OR(B287="",T287="On Hold"),"",MAX(0,MIN(1,(A287-INDEX(Project_Register!$G$6:$G$40,MATCH(B287,Project_Register!$A$6:$A$40,0)))/(INDEX(Project_Register!$H$6:$H$40,MATCH(B287,Project_Register!$A$6:$A$40,0))-INDEX(Project_Register!$G$6:$G$40,MATCH(B287,Project_Register!$A$6:$A$40,0))))))</f>
        <v/>
      </c>
      <c r="L287" s="40" t="str">
        <f aca="false">IF(OR(B287="",D287="",T287="On Hold"),"",ROUND((D287-K287)*100,0))</f>
        <v/>
      </c>
      <c r="M287" s="38" t="str">
        <f aca="false">IF(OR(B287="",F287=""),"",F287/INDEX(Project_Register!$I$6:$I$40,MATCH(B287,Project_Register!$A$6:$A$40,0)))</f>
        <v/>
      </c>
      <c r="N287" s="40" t="str">
        <f aca="false">IF(OR(B287="",G287="",T287="On Hold"),"",G287-INDEX(Project_Register!$H$6:$H$40,MATCH(B287,Project_Register!$A$6:$A$40,0)))</f>
        <v/>
      </c>
      <c r="O287" s="0" t="str">
        <f aca="false">IF(B287="","",IF(D287="","No update",IF(AND(T287&lt;&gt;"Active",D287&lt;1),T287,IF(D287&gt;=1,"Complete",IF(OR(L287&lt;=SV_Red,M287&gt;Cost_Red,N287&gt;Slip_Red),"Red",IF(OR(L287&lt;=SV_Amber,M287&gt;Cost_Amber,N287&gt;Slip_Amber),"Amber","Green"))))))</f>
        <v/>
      </c>
      <c r="P287" s="0" t="str">
        <f aca="false">IF(AND(H287="Green",OR(O287="Amber",O287="Red")),"Watermelon","")</f>
        <v/>
      </c>
      <c r="Q287" s="0" t="str">
        <f aca="false">IF(B287="","",IF(J287="","Missing",IF(J287&gt;A287+UpdateDue,"Late","On time")))</f>
        <v/>
      </c>
      <c r="R287" s="0" t="str">
        <f aca="false">IF(OR(B287="",D287=""),"",IF(COUNTIFS($B$6:$B$400,B287,$A$6:$A$400,EOMONTH(A287,-1))=0,"",IF(D287&lt;SUMIFS($D$6:$D$400,$B$6:$B$400,B287,$A$6:$A$400,EOMONTH(A287,-1)),"Dropped","")))</f>
        <v/>
      </c>
      <c r="S287" s="41" t="str">
        <f aca="false">IF(B287="","",B287&amp;"|"&amp;(YEAR(A287)*100+MONTH(A287)))</f>
        <v/>
      </c>
    </row>
    <row r="288" customFormat="false" ht="15" hidden="false" customHeight="false" outlineLevel="0" collapsed="false">
      <c r="A288" s="37"/>
      <c r="C288" s="0" t="str">
        <f aca="false">IF(B288="","",IFERROR(INDEX(Project_Register!$B$6:$B$40,MATCH(B288,Project_Register!$A$6:$A$40,0)),"Unknown ID"))</f>
        <v/>
      </c>
      <c r="D288" s="38"/>
      <c r="E288" s="24"/>
      <c r="F288" s="24"/>
      <c r="G288" s="39"/>
      <c r="J288" s="39"/>
      <c r="K288" s="38" t="str">
        <f aca="false">IF(OR(B288="",T288="On Hold"),"",MAX(0,MIN(1,(A288-INDEX(Project_Register!$G$6:$G$40,MATCH(B288,Project_Register!$A$6:$A$40,0)))/(INDEX(Project_Register!$H$6:$H$40,MATCH(B288,Project_Register!$A$6:$A$40,0))-INDEX(Project_Register!$G$6:$G$40,MATCH(B288,Project_Register!$A$6:$A$40,0))))))</f>
        <v/>
      </c>
      <c r="L288" s="40" t="str">
        <f aca="false">IF(OR(B288="",D288="",T288="On Hold"),"",ROUND((D288-K288)*100,0))</f>
        <v/>
      </c>
      <c r="M288" s="38" t="str">
        <f aca="false">IF(OR(B288="",F288=""),"",F288/INDEX(Project_Register!$I$6:$I$40,MATCH(B288,Project_Register!$A$6:$A$40,0)))</f>
        <v/>
      </c>
      <c r="N288" s="40" t="str">
        <f aca="false">IF(OR(B288="",G288="",T288="On Hold"),"",G288-INDEX(Project_Register!$H$6:$H$40,MATCH(B288,Project_Register!$A$6:$A$40,0)))</f>
        <v/>
      </c>
      <c r="O288" s="0" t="str">
        <f aca="false">IF(B288="","",IF(D288="","No update",IF(AND(T288&lt;&gt;"Active",D288&lt;1),T288,IF(D288&gt;=1,"Complete",IF(OR(L288&lt;=SV_Red,M288&gt;Cost_Red,N288&gt;Slip_Red),"Red",IF(OR(L288&lt;=SV_Amber,M288&gt;Cost_Amber,N288&gt;Slip_Amber),"Amber","Green"))))))</f>
        <v/>
      </c>
      <c r="P288" s="0" t="str">
        <f aca="false">IF(AND(H288="Green",OR(O288="Amber",O288="Red")),"Watermelon","")</f>
        <v/>
      </c>
      <c r="Q288" s="0" t="str">
        <f aca="false">IF(B288="","",IF(J288="","Missing",IF(J288&gt;A288+UpdateDue,"Late","On time")))</f>
        <v/>
      </c>
      <c r="R288" s="0" t="str">
        <f aca="false">IF(OR(B288="",D288=""),"",IF(COUNTIFS($B$6:$B$400,B288,$A$6:$A$400,EOMONTH(A288,-1))=0,"",IF(D288&lt;SUMIFS($D$6:$D$400,$B$6:$B$400,B288,$A$6:$A$400,EOMONTH(A288,-1)),"Dropped","")))</f>
        <v/>
      </c>
      <c r="S288" s="41" t="str">
        <f aca="false">IF(B288="","",B288&amp;"|"&amp;(YEAR(A288)*100+MONTH(A288)))</f>
        <v/>
      </c>
    </row>
    <row r="289" customFormat="false" ht="15" hidden="false" customHeight="false" outlineLevel="0" collapsed="false">
      <c r="A289" s="37"/>
      <c r="C289" s="0" t="str">
        <f aca="false">IF(B289="","",IFERROR(INDEX(Project_Register!$B$6:$B$40,MATCH(B289,Project_Register!$A$6:$A$40,0)),"Unknown ID"))</f>
        <v/>
      </c>
      <c r="D289" s="38"/>
      <c r="E289" s="24"/>
      <c r="F289" s="24"/>
      <c r="G289" s="39"/>
      <c r="J289" s="39"/>
      <c r="K289" s="38" t="str">
        <f aca="false">IF(OR(B289="",T289="On Hold"),"",MAX(0,MIN(1,(A289-INDEX(Project_Register!$G$6:$G$40,MATCH(B289,Project_Register!$A$6:$A$40,0)))/(INDEX(Project_Register!$H$6:$H$40,MATCH(B289,Project_Register!$A$6:$A$40,0))-INDEX(Project_Register!$G$6:$G$40,MATCH(B289,Project_Register!$A$6:$A$40,0))))))</f>
        <v/>
      </c>
      <c r="L289" s="40" t="str">
        <f aca="false">IF(OR(B289="",D289="",T289="On Hold"),"",ROUND((D289-K289)*100,0))</f>
        <v/>
      </c>
      <c r="M289" s="38" t="str">
        <f aca="false">IF(OR(B289="",F289=""),"",F289/INDEX(Project_Register!$I$6:$I$40,MATCH(B289,Project_Register!$A$6:$A$40,0)))</f>
        <v/>
      </c>
      <c r="N289" s="40" t="str">
        <f aca="false">IF(OR(B289="",G289="",T289="On Hold"),"",G289-INDEX(Project_Register!$H$6:$H$40,MATCH(B289,Project_Register!$A$6:$A$40,0)))</f>
        <v/>
      </c>
      <c r="O289" s="0" t="str">
        <f aca="false">IF(B289="","",IF(D289="","No update",IF(AND(T289&lt;&gt;"Active",D289&lt;1),T289,IF(D289&gt;=1,"Complete",IF(OR(L289&lt;=SV_Red,M289&gt;Cost_Red,N289&gt;Slip_Red),"Red",IF(OR(L289&lt;=SV_Amber,M289&gt;Cost_Amber,N289&gt;Slip_Amber),"Amber","Green"))))))</f>
        <v/>
      </c>
      <c r="P289" s="0" t="str">
        <f aca="false">IF(AND(H289="Green",OR(O289="Amber",O289="Red")),"Watermelon","")</f>
        <v/>
      </c>
      <c r="Q289" s="0" t="str">
        <f aca="false">IF(B289="","",IF(J289="","Missing",IF(J289&gt;A289+UpdateDue,"Late","On time")))</f>
        <v/>
      </c>
      <c r="R289" s="0" t="str">
        <f aca="false">IF(OR(B289="",D289=""),"",IF(COUNTIFS($B$6:$B$400,B289,$A$6:$A$400,EOMONTH(A289,-1))=0,"",IF(D289&lt;SUMIFS($D$6:$D$400,$B$6:$B$400,B289,$A$6:$A$400,EOMONTH(A289,-1)),"Dropped","")))</f>
        <v/>
      </c>
      <c r="S289" s="41" t="str">
        <f aca="false">IF(B289="","",B289&amp;"|"&amp;(YEAR(A289)*100+MONTH(A289)))</f>
        <v/>
      </c>
    </row>
    <row r="290" customFormat="false" ht="15" hidden="false" customHeight="false" outlineLevel="0" collapsed="false">
      <c r="A290" s="37"/>
      <c r="C290" s="0" t="str">
        <f aca="false">IF(B290="","",IFERROR(INDEX(Project_Register!$B$6:$B$40,MATCH(B290,Project_Register!$A$6:$A$40,0)),"Unknown ID"))</f>
        <v/>
      </c>
      <c r="D290" s="38"/>
      <c r="E290" s="24"/>
      <c r="F290" s="24"/>
      <c r="G290" s="39"/>
      <c r="J290" s="39"/>
      <c r="K290" s="38" t="str">
        <f aca="false">IF(OR(B290="",T290="On Hold"),"",MAX(0,MIN(1,(A290-INDEX(Project_Register!$G$6:$G$40,MATCH(B290,Project_Register!$A$6:$A$40,0)))/(INDEX(Project_Register!$H$6:$H$40,MATCH(B290,Project_Register!$A$6:$A$40,0))-INDEX(Project_Register!$G$6:$G$40,MATCH(B290,Project_Register!$A$6:$A$40,0))))))</f>
        <v/>
      </c>
      <c r="L290" s="40" t="str">
        <f aca="false">IF(OR(B290="",D290="",T290="On Hold"),"",ROUND((D290-K290)*100,0))</f>
        <v/>
      </c>
      <c r="M290" s="38" t="str">
        <f aca="false">IF(OR(B290="",F290=""),"",F290/INDEX(Project_Register!$I$6:$I$40,MATCH(B290,Project_Register!$A$6:$A$40,0)))</f>
        <v/>
      </c>
      <c r="N290" s="40" t="str">
        <f aca="false">IF(OR(B290="",G290="",T290="On Hold"),"",G290-INDEX(Project_Register!$H$6:$H$40,MATCH(B290,Project_Register!$A$6:$A$40,0)))</f>
        <v/>
      </c>
      <c r="O290" s="0" t="str">
        <f aca="false">IF(B290="","",IF(D290="","No update",IF(AND(T290&lt;&gt;"Active",D290&lt;1),T290,IF(D290&gt;=1,"Complete",IF(OR(L290&lt;=SV_Red,M290&gt;Cost_Red,N290&gt;Slip_Red),"Red",IF(OR(L290&lt;=SV_Amber,M290&gt;Cost_Amber,N290&gt;Slip_Amber),"Amber","Green"))))))</f>
        <v/>
      </c>
      <c r="P290" s="0" t="str">
        <f aca="false">IF(AND(H290="Green",OR(O290="Amber",O290="Red")),"Watermelon","")</f>
        <v/>
      </c>
      <c r="Q290" s="0" t="str">
        <f aca="false">IF(B290="","",IF(J290="","Missing",IF(J290&gt;A290+UpdateDue,"Late","On time")))</f>
        <v/>
      </c>
      <c r="R290" s="0" t="str">
        <f aca="false">IF(OR(B290="",D290=""),"",IF(COUNTIFS($B$6:$B$400,B290,$A$6:$A$400,EOMONTH(A290,-1))=0,"",IF(D290&lt;SUMIFS($D$6:$D$400,$B$6:$B$400,B290,$A$6:$A$400,EOMONTH(A290,-1)),"Dropped","")))</f>
        <v/>
      </c>
      <c r="S290" s="41" t="str">
        <f aca="false">IF(B290="","",B290&amp;"|"&amp;(YEAR(A290)*100+MONTH(A290)))</f>
        <v/>
      </c>
    </row>
    <row r="291" customFormat="false" ht="15" hidden="false" customHeight="false" outlineLevel="0" collapsed="false">
      <c r="A291" s="37"/>
      <c r="C291" s="0" t="str">
        <f aca="false">IF(B291="","",IFERROR(INDEX(Project_Register!$B$6:$B$40,MATCH(B291,Project_Register!$A$6:$A$40,0)),"Unknown ID"))</f>
        <v/>
      </c>
      <c r="D291" s="38"/>
      <c r="E291" s="24"/>
      <c r="F291" s="24"/>
      <c r="G291" s="39"/>
      <c r="J291" s="39"/>
      <c r="K291" s="38" t="str">
        <f aca="false">IF(OR(B291="",T291="On Hold"),"",MAX(0,MIN(1,(A291-INDEX(Project_Register!$G$6:$G$40,MATCH(B291,Project_Register!$A$6:$A$40,0)))/(INDEX(Project_Register!$H$6:$H$40,MATCH(B291,Project_Register!$A$6:$A$40,0))-INDEX(Project_Register!$G$6:$G$40,MATCH(B291,Project_Register!$A$6:$A$40,0))))))</f>
        <v/>
      </c>
      <c r="L291" s="40" t="str">
        <f aca="false">IF(OR(B291="",D291="",T291="On Hold"),"",ROUND((D291-K291)*100,0))</f>
        <v/>
      </c>
      <c r="M291" s="38" t="str">
        <f aca="false">IF(OR(B291="",F291=""),"",F291/INDEX(Project_Register!$I$6:$I$40,MATCH(B291,Project_Register!$A$6:$A$40,0)))</f>
        <v/>
      </c>
      <c r="N291" s="40" t="str">
        <f aca="false">IF(OR(B291="",G291="",T291="On Hold"),"",G291-INDEX(Project_Register!$H$6:$H$40,MATCH(B291,Project_Register!$A$6:$A$40,0)))</f>
        <v/>
      </c>
      <c r="O291" s="0" t="str">
        <f aca="false">IF(B291="","",IF(D291="","No update",IF(AND(T291&lt;&gt;"Active",D291&lt;1),T291,IF(D291&gt;=1,"Complete",IF(OR(L291&lt;=SV_Red,M291&gt;Cost_Red,N291&gt;Slip_Red),"Red",IF(OR(L291&lt;=SV_Amber,M291&gt;Cost_Amber,N291&gt;Slip_Amber),"Amber","Green"))))))</f>
        <v/>
      </c>
      <c r="P291" s="0" t="str">
        <f aca="false">IF(AND(H291="Green",OR(O291="Amber",O291="Red")),"Watermelon","")</f>
        <v/>
      </c>
      <c r="Q291" s="0" t="str">
        <f aca="false">IF(B291="","",IF(J291="","Missing",IF(J291&gt;A291+UpdateDue,"Late","On time")))</f>
        <v/>
      </c>
      <c r="R291" s="0" t="str">
        <f aca="false">IF(OR(B291="",D291=""),"",IF(COUNTIFS($B$6:$B$400,B291,$A$6:$A$400,EOMONTH(A291,-1))=0,"",IF(D291&lt;SUMIFS($D$6:$D$400,$B$6:$B$400,B291,$A$6:$A$400,EOMONTH(A291,-1)),"Dropped","")))</f>
        <v/>
      </c>
      <c r="S291" s="41" t="str">
        <f aca="false">IF(B291="","",B291&amp;"|"&amp;(YEAR(A291)*100+MONTH(A291)))</f>
        <v/>
      </c>
    </row>
    <row r="292" customFormat="false" ht="15" hidden="false" customHeight="false" outlineLevel="0" collapsed="false">
      <c r="A292" s="37"/>
      <c r="C292" s="0" t="str">
        <f aca="false">IF(B292="","",IFERROR(INDEX(Project_Register!$B$6:$B$40,MATCH(B292,Project_Register!$A$6:$A$40,0)),"Unknown ID"))</f>
        <v/>
      </c>
      <c r="D292" s="38"/>
      <c r="E292" s="24"/>
      <c r="F292" s="24"/>
      <c r="G292" s="39"/>
      <c r="J292" s="39"/>
      <c r="K292" s="38" t="str">
        <f aca="false">IF(OR(B292="",T292="On Hold"),"",MAX(0,MIN(1,(A292-INDEX(Project_Register!$G$6:$G$40,MATCH(B292,Project_Register!$A$6:$A$40,0)))/(INDEX(Project_Register!$H$6:$H$40,MATCH(B292,Project_Register!$A$6:$A$40,0))-INDEX(Project_Register!$G$6:$G$40,MATCH(B292,Project_Register!$A$6:$A$40,0))))))</f>
        <v/>
      </c>
      <c r="L292" s="40" t="str">
        <f aca="false">IF(OR(B292="",D292="",T292="On Hold"),"",ROUND((D292-K292)*100,0))</f>
        <v/>
      </c>
      <c r="M292" s="38" t="str">
        <f aca="false">IF(OR(B292="",F292=""),"",F292/INDEX(Project_Register!$I$6:$I$40,MATCH(B292,Project_Register!$A$6:$A$40,0)))</f>
        <v/>
      </c>
      <c r="N292" s="40" t="str">
        <f aca="false">IF(OR(B292="",G292="",T292="On Hold"),"",G292-INDEX(Project_Register!$H$6:$H$40,MATCH(B292,Project_Register!$A$6:$A$40,0)))</f>
        <v/>
      </c>
      <c r="O292" s="0" t="str">
        <f aca="false">IF(B292="","",IF(D292="","No update",IF(AND(T292&lt;&gt;"Active",D292&lt;1),T292,IF(D292&gt;=1,"Complete",IF(OR(L292&lt;=SV_Red,M292&gt;Cost_Red,N292&gt;Slip_Red),"Red",IF(OR(L292&lt;=SV_Amber,M292&gt;Cost_Amber,N292&gt;Slip_Amber),"Amber","Green"))))))</f>
        <v/>
      </c>
      <c r="P292" s="0" t="str">
        <f aca="false">IF(AND(H292="Green",OR(O292="Amber",O292="Red")),"Watermelon","")</f>
        <v/>
      </c>
      <c r="Q292" s="0" t="str">
        <f aca="false">IF(B292="","",IF(J292="","Missing",IF(J292&gt;A292+UpdateDue,"Late","On time")))</f>
        <v/>
      </c>
      <c r="R292" s="0" t="str">
        <f aca="false">IF(OR(B292="",D292=""),"",IF(COUNTIFS($B$6:$B$400,B292,$A$6:$A$400,EOMONTH(A292,-1))=0,"",IF(D292&lt;SUMIFS($D$6:$D$400,$B$6:$B$400,B292,$A$6:$A$400,EOMONTH(A292,-1)),"Dropped","")))</f>
        <v/>
      </c>
      <c r="S292" s="41" t="str">
        <f aca="false">IF(B292="","",B292&amp;"|"&amp;(YEAR(A292)*100+MONTH(A292)))</f>
        <v/>
      </c>
    </row>
    <row r="293" customFormat="false" ht="15" hidden="false" customHeight="false" outlineLevel="0" collapsed="false">
      <c r="A293" s="37"/>
      <c r="C293" s="0" t="str">
        <f aca="false">IF(B293="","",IFERROR(INDEX(Project_Register!$B$6:$B$40,MATCH(B293,Project_Register!$A$6:$A$40,0)),"Unknown ID"))</f>
        <v/>
      </c>
      <c r="D293" s="38"/>
      <c r="E293" s="24"/>
      <c r="F293" s="24"/>
      <c r="G293" s="39"/>
      <c r="J293" s="39"/>
      <c r="K293" s="38" t="str">
        <f aca="false">IF(OR(B293="",T293="On Hold"),"",MAX(0,MIN(1,(A293-INDEX(Project_Register!$G$6:$G$40,MATCH(B293,Project_Register!$A$6:$A$40,0)))/(INDEX(Project_Register!$H$6:$H$40,MATCH(B293,Project_Register!$A$6:$A$40,0))-INDEX(Project_Register!$G$6:$G$40,MATCH(B293,Project_Register!$A$6:$A$40,0))))))</f>
        <v/>
      </c>
      <c r="L293" s="40" t="str">
        <f aca="false">IF(OR(B293="",D293="",T293="On Hold"),"",ROUND((D293-K293)*100,0))</f>
        <v/>
      </c>
      <c r="M293" s="38" t="str">
        <f aca="false">IF(OR(B293="",F293=""),"",F293/INDEX(Project_Register!$I$6:$I$40,MATCH(B293,Project_Register!$A$6:$A$40,0)))</f>
        <v/>
      </c>
      <c r="N293" s="40" t="str">
        <f aca="false">IF(OR(B293="",G293="",T293="On Hold"),"",G293-INDEX(Project_Register!$H$6:$H$40,MATCH(B293,Project_Register!$A$6:$A$40,0)))</f>
        <v/>
      </c>
      <c r="O293" s="0" t="str">
        <f aca="false">IF(B293="","",IF(D293="","No update",IF(AND(T293&lt;&gt;"Active",D293&lt;1),T293,IF(D293&gt;=1,"Complete",IF(OR(L293&lt;=SV_Red,M293&gt;Cost_Red,N293&gt;Slip_Red),"Red",IF(OR(L293&lt;=SV_Amber,M293&gt;Cost_Amber,N293&gt;Slip_Amber),"Amber","Green"))))))</f>
        <v/>
      </c>
      <c r="P293" s="0" t="str">
        <f aca="false">IF(AND(H293="Green",OR(O293="Amber",O293="Red")),"Watermelon","")</f>
        <v/>
      </c>
      <c r="Q293" s="0" t="str">
        <f aca="false">IF(B293="","",IF(J293="","Missing",IF(J293&gt;A293+UpdateDue,"Late","On time")))</f>
        <v/>
      </c>
      <c r="R293" s="0" t="str">
        <f aca="false">IF(OR(B293="",D293=""),"",IF(COUNTIFS($B$6:$B$400,B293,$A$6:$A$400,EOMONTH(A293,-1))=0,"",IF(D293&lt;SUMIFS($D$6:$D$400,$B$6:$B$400,B293,$A$6:$A$400,EOMONTH(A293,-1)),"Dropped","")))</f>
        <v/>
      </c>
      <c r="S293" s="41" t="str">
        <f aca="false">IF(B293="","",B293&amp;"|"&amp;(YEAR(A293)*100+MONTH(A293)))</f>
        <v/>
      </c>
    </row>
    <row r="294" customFormat="false" ht="15" hidden="false" customHeight="false" outlineLevel="0" collapsed="false">
      <c r="A294" s="37"/>
      <c r="C294" s="0" t="str">
        <f aca="false">IF(B294="","",IFERROR(INDEX(Project_Register!$B$6:$B$40,MATCH(B294,Project_Register!$A$6:$A$40,0)),"Unknown ID"))</f>
        <v/>
      </c>
      <c r="D294" s="38"/>
      <c r="E294" s="24"/>
      <c r="F294" s="24"/>
      <c r="G294" s="39"/>
      <c r="J294" s="39"/>
      <c r="K294" s="38" t="str">
        <f aca="false">IF(OR(B294="",T294="On Hold"),"",MAX(0,MIN(1,(A294-INDEX(Project_Register!$G$6:$G$40,MATCH(B294,Project_Register!$A$6:$A$40,0)))/(INDEX(Project_Register!$H$6:$H$40,MATCH(B294,Project_Register!$A$6:$A$40,0))-INDEX(Project_Register!$G$6:$G$40,MATCH(B294,Project_Register!$A$6:$A$40,0))))))</f>
        <v/>
      </c>
      <c r="L294" s="40" t="str">
        <f aca="false">IF(OR(B294="",D294="",T294="On Hold"),"",ROUND((D294-K294)*100,0))</f>
        <v/>
      </c>
      <c r="M294" s="38" t="str">
        <f aca="false">IF(OR(B294="",F294=""),"",F294/INDEX(Project_Register!$I$6:$I$40,MATCH(B294,Project_Register!$A$6:$A$40,0)))</f>
        <v/>
      </c>
      <c r="N294" s="40" t="str">
        <f aca="false">IF(OR(B294="",G294="",T294="On Hold"),"",G294-INDEX(Project_Register!$H$6:$H$40,MATCH(B294,Project_Register!$A$6:$A$40,0)))</f>
        <v/>
      </c>
      <c r="O294" s="0" t="str">
        <f aca="false">IF(B294="","",IF(D294="","No update",IF(AND(T294&lt;&gt;"Active",D294&lt;1),T294,IF(D294&gt;=1,"Complete",IF(OR(L294&lt;=SV_Red,M294&gt;Cost_Red,N294&gt;Slip_Red),"Red",IF(OR(L294&lt;=SV_Amber,M294&gt;Cost_Amber,N294&gt;Slip_Amber),"Amber","Green"))))))</f>
        <v/>
      </c>
      <c r="P294" s="0" t="str">
        <f aca="false">IF(AND(H294="Green",OR(O294="Amber",O294="Red")),"Watermelon","")</f>
        <v/>
      </c>
      <c r="Q294" s="0" t="str">
        <f aca="false">IF(B294="","",IF(J294="","Missing",IF(J294&gt;A294+UpdateDue,"Late","On time")))</f>
        <v/>
      </c>
      <c r="R294" s="0" t="str">
        <f aca="false">IF(OR(B294="",D294=""),"",IF(COUNTIFS($B$6:$B$400,B294,$A$6:$A$400,EOMONTH(A294,-1))=0,"",IF(D294&lt;SUMIFS($D$6:$D$400,$B$6:$B$400,B294,$A$6:$A$400,EOMONTH(A294,-1)),"Dropped","")))</f>
        <v/>
      </c>
      <c r="S294" s="41" t="str">
        <f aca="false">IF(B294="","",B294&amp;"|"&amp;(YEAR(A294)*100+MONTH(A294)))</f>
        <v/>
      </c>
    </row>
    <row r="295" customFormat="false" ht="15" hidden="false" customHeight="false" outlineLevel="0" collapsed="false">
      <c r="A295" s="37"/>
      <c r="C295" s="0" t="str">
        <f aca="false">IF(B295="","",IFERROR(INDEX(Project_Register!$B$6:$B$40,MATCH(B295,Project_Register!$A$6:$A$40,0)),"Unknown ID"))</f>
        <v/>
      </c>
      <c r="D295" s="38"/>
      <c r="E295" s="24"/>
      <c r="F295" s="24"/>
      <c r="G295" s="39"/>
      <c r="J295" s="39"/>
      <c r="K295" s="38" t="str">
        <f aca="false">IF(OR(B295="",T295="On Hold"),"",MAX(0,MIN(1,(A295-INDEX(Project_Register!$G$6:$G$40,MATCH(B295,Project_Register!$A$6:$A$40,0)))/(INDEX(Project_Register!$H$6:$H$40,MATCH(B295,Project_Register!$A$6:$A$40,0))-INDEX(Project_Register!$G$6:$G$40,MATCH(B295,Project_Register!$A$6:$A$40,0))))))</f>
        <v/>
      </c>
      <c r="L295" s="40" t="str">
        <f aca="false">IF(OR(B295="",D295="",T295="On Hold"),"",ROUND((D295-K295)*100,0))</f>
        <v/>
      </c>
      <c r="M295" s="38" t="str">
        <f aca="false">IF(OR(B295="",F295=""),"",F295/INDEX(Project_Register!$I$6:$I$40,MATCH(B295,Project_Register!$A$6:$A$40,0)))</f>
        <v/>
      </c>
      <c r="N295" s="40" t="str">
        <f aca="false">IF(OR(B295="",G295="",T295="On Hold"),"",G295-INDEX(Project_Register!$H$6:$H$40,MATCH(B295,Project_Register!$A$6:$A$40,0)))</f>
        <v/>
      </c>
      <c r="O295" s="0" t="str">
        <f aca="false">IF(B295="","",IF(D295="","No update",IF(AND(T295&lt;&gt;"Active",D295&lt;1),T295,IF(D295&gt;=1,"Complete",IF(OR(L295&lt;=SV_Red,M295&gt;Cost_Red,N295&gt;Slip_Red),"Red",IF(OR(L295&lt;=SV_Amber,M295&gt;Cost_Amber,N295&gt;Slip_Amber),"Amber","Green"))))))</f>
        <v/>
      </c>
      <c r="P295" s="0" t="str">
        <f aca="false">IF(AND(H295="Green",OR(O295="Amber",O295="Red")),"Watermelon","")</f>
        <v/>
      </c>
      <c r="Q295" s="0" t="str">
        <f aca="false">IF(B295="","",IF(J295="","Missing",IF(J295&gt;A295+UpdateDue,"Late","On time")))</f>
        <v/>
      </c>
      <c r="R295" s="0" t="str">
        <f aca="false">IF(OR(B295="",D295=""),"",IF(COUNTIFS($B$6:$B$400,B295,$A$6:$A$400,EOMONTH(A295,-1))=0,"",IF(D295&lt;SUMIFS($D$6:$D$400,$B$6:$B$400,B295,$A$6:$A$400,EOMONTH(A295,-1)),"Dropped","")))</f>
        <v/>
      </c>
      <c r="S295" s="41" t="str">
        <f aca="false">IF(B295="","",B295&amp;"|"&amp;(YEAR(A295)*100+MONTH(A295)))</f>
        <v/>
      </c>
    </row>
    <row r="296" customFormat="false" ht="15" hidden="false" customHeight="false" outlineLevel="0" collapsed="false">
      <c r="A296" s="37"/>
      <c r="C296" s="0" t="str">
        <f aca="false">IF(B296="","",IFERROR(INDEX(Project_Register!$B$6:$B$40,MATCH(B296,Project_Register!$A$6:$A$40,0)),"Unknown ID"))</f>
        <v/>
      </c>
      <c r="D296" s="38"/>
      <c r="E296" s="24"/>
      <c r="F296" s="24"/>
      <c r="G296" s="39"/>
      <c r="J296" s="39"/>
      <c r="K296" s="38" t="str">
        <f aca="false">IF(OR(B296="",T296="On Hold"),"",MAX(0,MIN(1,(A296-INDEX(Project_Register!$G$6:$G$40,MATCH(B296,Project_Register!$A$6:$A$40,0)))/(INDEX(Project_Register!$H$6:$H$40,MATCH(B296,Project_Register!$A$6:$A$40,0))-INDEX(Project_Register!$G$6:$G$40,MATCH(B296,Project_Register!$A$6:$A$40,0))))))</f>
        <v/>
      </c>
      <c r="L296" s="40" t="str">
        <f aca="false">IF(OR(B296="",D296="",T296="On Hold"),"",ROUND((D296-K296)*100,0))</f>
        <v/>
      </c>
      <c r="M296" s="38" t="str">
        <f aca="false">IF(OR(B296="",F296=""),"",F296/INDEX(Project_Register!$I$6:$I$40,MATCH(B296,Project_Register!$A$6:$A$40,0)))</f>
        <v/>
      </c>
      <c r="N296" s="40" t="str">
        <f aca="false">IF(OR(B296="",G296="",T296="On Hold"),"",G296-INDEX(Project_Register!$H$6:$H$40,MATCH(B296,Project_Register!$A$6:$A$40,0)))</f>
        <v/>
      </c>
      <c r="O296" s="0" t="str">
        <f aca="false">IF(B296="","",IF(D296="","No update",IF(AND(T296&lt;&gt;"Active",D296&lt;1),T296,IF(D296&gt;=1,"Complete",IF(OR(L296&lt;=SV_Red,M296&gt;Cost_Red,N296&gt;Slip_Red),"Red",IF(OR(L296&lt;=SV_Amber,M296&gt;Cost_Amber,N296&gt;Slip_Amber),"Amber","Green"))))))</f>
        <v/>
      </c>
      <c r="P296" s="0" t="str">
        <f aca="false">IF(AND(H296="Green",OR(O296="Amber",O296="Red")),"Watermelon","")</f>
        <v/>
      </c>
      <c r="Q296" s="0" t="str">
        <f aca="false">IF(B296="","",IF(J296="","Missing",IF(J296&gt;A296+UpdateDue,"Late","On time")))</f>
        <v/>
      </c>
      <c r="R296" s="0" t="str">
        <f aca="false">IF(OR(B296="",D296=""),"",IF(COUNTIFS($B$6:$B$400,B296,$A$6:$A$400,EOMONTH(A296,-1))=0,"",IF(D296&lt;SUMIFS($D$6:$D$400,$B$6:$B$400,B296,$A$6:$A$400,EOMONTH(A296,-1)),"Dropped","")))</f>
        <v/>
      </c>
      <c r="S296" s="41" t="str">
        <f aca="false">IF(B296="","",B296&amp;"|"&amp;(YEAR(A296)*100+MONTH(A296)))</f>
        <v/>
      </c>
    </row>
    <row r="297" customFormat="false" ht="15" hidden="false" customHeight="false" outlineLevel="0" collapsed="false">
      <c r="A297" s="37"/>
      <c r="C297" s="0" t="str">
        <f aca="false">IF(B297="","",IFERROR(INDEX(Project_Register!$B$6:$B$40,MATCH(B297,Project_Register!$A$6:$A$40,0)),"Unknown ID"))</f>
        <v/>
      </c>
      <c r="D297" s="38"/>
      <c r="E297" s="24"/>
      <c r="F297" s="24"/>
      <c r="G297" s="39"/>
      <c r="J297" s="39"/>
      <c r="K297" s="38" t="str">
        <f aca="false">IF(OR(B297="",T297="On Hold"),"",MAX(0,MIN(1,(A297-INDEX(Project_Register!$G$6:$G$40,MATCH(B297,Project_Register!$A$6:$A$40,0)))/(INDEX(Project_Register!$H$6:$H$40,MATCH(B297,Project_Register!$A$6:$A$40,0))-INDEX(Project_Register!$G$6:$G$40,MATCH(B297,Project_Register!$A$6:$A$40,0))))))</f>
        <v/>
      </c>
      <c r="L297" s="40" t="str">
        <f aca="false">IF(OR(B297="",D297="",T297="On Hold"),"",ROUND((D297-K297)*100,0))</f>
        <v/>
      </c>
      <c r="M297" s="38" t="str">
        <f aca="false">IF(OR(B297="",F297=""),"",F297/INDEX(Project_Register!$I$6:$I$40,MATCH(B297,Project_Register!$A$6:$A$40,0)))</f>
        <v/>
      </c>
      <c r="N297" s="40" t="str">
        <f aca="false">IF(OR(B297="",G297="",T297="On Hold"),"",G297-INDEX(Project_Register!$H$6:$H$40,MATCH(B297,Project_Register!$A$6:$A$40,0)))</f>
        <v/>
      </c>
      <c r="O297" s="0" t="str">
        <f aca="false">IF(B297="","",IF(D297="","No update",IF(AND(T297&lt;&gt;"Active",D297&lt;1),T297,IF(D297&gt;=1,"Complete",IF(OR(L297&lt;=SV_Red,M297&gt;Cost_Red,N297&gt;Slip_Red),"Red",IF(OR(L297&lt;=SV_Amber,M297&gt;Cost_Amber,N297&gt;Slip_Amber),"Amber","Green"))))))</f>
        <v/>
      </c>
      <c r="P297" s="0" t="str">
        <f aca="false">IF(AND(H297="Green",OR(O297="Amber",O297="Red")),"Watermelon","")</f>
        <v/>
      </c>
      <c r="Q297" s="0" t="str">
        <f aca="false">IF(B297="","",IF(J297="","Missing",IF(J297&gt;A297+UpdateDue,"Late","On time")))</f>
        <v/>
      </c>
      <c r="R297" s="0" t="str">
        <f aca="false">IF(OR(B297="",D297=""),"",IF(COUNTIFS($B$6:$B$400,B297,$A$6:$A$400,EOMONTH(A297,-1))=0,"",IF(D297&lt;SUMIFS($D$6:$D$400,$B$6:$B$400,B297,$A$6:$A$400,EOMONTH(A297,-1)),"Dropped","")))</f>
        <v/>
      </c>
      <c r="S297" s="41" t="str">
        <f aca="false">IF(B297="","",B297&amp;"|"&amp;(YEAR(A297)*100+MONTH(A297)))</f>
        <v/>
      </c>
    </row>
    <row r="298" customFormat="false" ht="15" hidden="false" customHeight="false" outlineLevel="0" collapsed="false">
      <c r="A298" s="37"/>
      <c r="C298" s="0" t="str">
        <f aca="false">IF(B298="","",IFERROR(INDEX(Project_Register!$B$6:$B$40,MATCH(B298,Project_Register!$A$6:$A$40,0)),"Unknown ID"))</f>
        <v/>
      </c>
      <c r="D298" s="38"/>
      <c r="E298" s="24"/>
      <c r="F298" s="24"/>
      <c r="G298" s="39"/>
      <c r="J298" s="39"/>
      <c r="K298" s="38" t="str">
        <f aca="false">IF(OR(B298="",T298="On Hold"),"",MAX(0,MIN(1,(A298-INDEX(Project_Register!$G$6:$G$40,MATCH(B298,Project_Register!$A$6:$A$40,0)))/(INDEX(Project_Register!$H$6:$H$40,MATCH(B298,Project_Register!$A$6:$A$40,0))-INDEX(Project_Register!$G$6:$G$40,MATCH(B298,Project_Register!$A$6:$A$40,0))))))</f>
        <v/>
      </c>
      <c r="L298" s="40" t="str">
        <f aca="false">IF(OR(B298="",D298="",T298="On Hold"),"",ROUND((D298-K298)*100,0))</f>
        <v/>
      </c>
      <c r="M298" s="38" t="str">
        <f aca="false">IF(OR(B298="",F298=""),"",F298/INDEX(Project_Register!$I$6:$I$40,MATCH(B298,Project_Register!$A$6:$A$40,0)))</f>
        <v/>
      </c>
      <c r="N298" s="40" t="str">
        <f aca="false">IF(OR(B298="",G298="",T298="On Hold"),"",G298-INDEX(Project_Register!$H$6:$H$40,MATCH(B298,Project_Register!$A$6:$A$40,0)))</f>
        <v/>
      </c>
      <c r="O298" s="0" t="str">
        <f aca="false">IF(B298="","",IF(D298="","No update",IF(AND(T298&lt;&gt;"Active",D298&lt;1),T298,IF(D298&gt;=1,"Complete",IF(OR(L298&lt;=SV_Red,M298&gt;Cost_Red,N298&gt;Slip_Red),"Red",IF(OR(L298&lt;=SV_Amber,M298&gt;Cost_Amber,N298&gt;Slip_Amber),"Amber","Green"))))))</f>
        <v/>
      </c>
      <c r="P298" s="0" t="str">
        <f aca="false">IF(AND(H298="Green",OR(O298="Amber",O298="Red")),"Watermelon","")</f>
        <v/>
      </c>
      <c r="Q298" s="0" t="str">
        <f aca="false">IF(B298="","",IF(J298="","Missing",IF(J298&gt;A298+UpdateDue,"Late","On time")))</f>
        <v/>
      </c>
      <c r="R298" s="0" t="str">
        <f aca="false">IF(OR(B298="",D298=""),"",IF(COUNTIFS($B$6:$B$400,B298,$A$6:$A$400,EOMONTH(A298,-1))=0,"",IF(D298&lt;SUMIFS($D$6:$D$400,$B$6:$B$400,B298,$A$6:$A$400,EOMONTH(A298,-1)),"Dropped","")))</f>
        <v/>
      </c>
      <c r="S298" s="41" t="str">
        <f aca="false">IF(B298="","",B298&amp;"|"&amp;(YEAR(A298)*100+MONTH(A298)))</f>
        <v/>
      </c>
    </row>
    <row r="299" customFormat="false" ht="15" hidden="false" customHeight="false" outlineLevel="0" collapsed="false">
      <c r="A299" s="37"/>
      <c r="C299" s="0" t="str">
        <f aca="false">IF(B299="","",IFERROR(INDEX(Project_Register!$B$6:$B$40,MATCH(B299,Project_Register!$A$6:$A$40,0)),"Unknown ID"))</f>
        <v/>
      </c>
      <c r="D299" s="38"/>
      <c r="E299" s="24"/>
      <c r="F299" s="24"/>
      <c r="G299" s="39"/>
      <c r="J299" s="39"/>
      <c r="K299" s="38" t="str">
        <f aca="false">IF(OR(B299="",T299="On Hold"),"",MAX(0,MIN(1,(A299-INDEX(Project_Register!$G$6:$G$40,MATCH(B299,Project_Register!$A$6:$A$40,0)))/(INDEX(Project_Register!$H$6:$H$40,MATCH(B299,Project_Register!$A$6:$A$40,0))-INDEX(Project_Register!$G$6:$G$40,MATCH(B299,Project_Register!$A$6:$A$40,0))))))</f>
        <v/>
      </c>
      <c r="L299" s="40" t="str">
        <f aca="false">IF(OR(B299="",D299="",T299="On Hold"),"",ROUND((D299-K299)*100,0))</f>
        <v/>
      </c>
      <c r="M299" s="38" t="str">
        <f aca="false">IF(OR(B299="",F299=""),"",F299/INDEX(Project_Register!$I$6:$I$40,MATCH(B299,Project_Register!$A$6:$A$40,0)))</f>
        <v/>
      </c>
      <c r="N299" s="40" t="str">
        <f aca="false">IF(OR(B299="",G299="",T299="On Hold"),"",G299-INDEX(Project_Register!$H$6:$H$40,MATCH(B299,Project_Register!$A$6:$A$40,0)))</f>
        <v/>
      </c>
      <c r="O299" s="0" t="str">
        <f aca="false">IF(B299="","",IF(D299="","No update",IF(AND(T299&lt;&gt;"Active",D299&lt;1),T299,IF(D299&gt;=1,"Complete",IF(OR(L299&lt;=SV_Red,M299&gt;Cost_Red,N299&gt;Slip_Red),"Red",IF(OR(L299&lt;=SV_Amber,M299&gt;Cost_Amber,N299&gt;Slip_Amber),"Amber","Green"))))))</f>
        <v/>
      </c>
      <c r="P299" s="0" t="str">
        <f aca="false">IF(AND(H299="Green",OR(O299="Amber",O299="Red")),"Watermelon","")</f>
        <v/>
      </c>
      <c r="Q299" s="0" t="str">
        <f aca="false">IF(B299="","",IF(J299="","Missing",IF(J299&gt;A299+UpdateDue,"Late","On time")))</f>
        <v/>
      </c>
      <c r="R299" s="0" t="str">
        <f aca="false">IF(OR(B299="",D299=""),"",IF(COUNTIFS($B$6:$B$400,B299,$A$6:$A$400,EOMONTH(A299,-1))=0,"",IF(D299&lt;SUMIFS($D$6:$D$400,$B$6:$B$400,B299,$A$6:$A$400,EOMONTH(A299,-1)),"Dropped","")))</f>
        <v/>
      </c>
      <c r="S299" s="41" t="str">
        <f aca="false">IF(B299="","",B299&amp;"|"&amp;(YEAR(A299)*100+MONTH(A299)))</f>
        <v/>
      </c>
    </row>
    <row r="300" customFormat="false" ht="15" hidden="false" customHeight="false" outlineLevel="0" collapsed="false">
      <c r="A300" s="37"/>
      <c r="C300" s="0" t="str">
        <f aca="false">IF(B300="","",IFERROR(INDEX(Project_Register!$B$6:$B$40,MATCH(B300,Project_Register!$A$6:$A$40,0)),"Unknown ID"))</f>
        <v/>
      </c>
      <c r="D300" s="38"/>
      <c r="E300" s="24"/>
      <c r="F300" s="24"/>
      <c r="G300" s="39"/>
      <c r="J300" s="39"/>
      <c r="K300" s="38" t="str">
        <f aca="false">IF(OR(B300="",T300="On Hold"),"",MAX(0,MIN(1,(A300-INDEX(Project_Register!$G$6:$G$40,MATCH(B300,Project_Register!$A$6:$A$40,0)))/(INDEX(Project_Register!$H$6:$H$40,MATCH(B300,Project_Register!$A$6:$A$40,0))-INDEX(Project_Register!$G$6:$G$40,MATCH(B300,Project_Register!$A$6:$A$40,0))))))</f>
        <v/>
      </c>
      <c r="L300" s="40" t="str">
        <f aca="false">IF(OR(B300="",D300="",T300="On Hold"),"",ROUND((D300-K300)*100,0))</f>
        <v/>
      </c>
      <c r="M300" s="38" t="str">
        <f aca="false">IF(OR(B300="",F300=""),"",F300/INDEX(Project_Register!$I$6:$I$40,MATCH(B300,Project_Register!$A$6:$A$40,0)))</f>
        <v/>
      </c>
      <c r="N300" s="40" t="str">
        <f aca="false">IF(OR(B300="",G300="",T300="On Hold"),"",G300-INDEX(Project_Register!$H$6:$H$40,MATCH(B300,Project_Register!$A$6:$A$40,0)))</f>
        <v/>
      </c>
      <c r="O300" s="0" t="str">
        <f aca="false">IF(B300="","",IF(D300="","No update",IF(AND(T300&lt;&gt;"Active",D300&lt;1),T300,IF(D300&gt;=1,"Complete",IF(OR(L300&lt;=SV_Red,M300&gt;Cost_Red,N300&gt;Slip_Red),"Red",IF(OR(L300&lt;=SV_Amber,M300&gt;Cost_Amber,N300&gt;Slip_Amber),"Amber","Green"))))))</f>
        <v/>
      </c>
      <c r="P300" s="0" t="str">
        <f aca="false">IF(AND(H300="Green",OR(O300="Amber",O300="Red")),"Watermelon","")</f>
        <v/>
      </c>
      <c r="Q300" s="0" t="str">
        <f aca="false">IF(B300="","",IF(J300="","Missing",IF(J300&gt;A300+UpdateDue,"Late","On time")))</f>
        <v/>
      </c>
      <c r="R300" s="0" t="str">
        <f aca="false">IF(OR(B300="",D300=""),"",IF(COUNTIFS($B$6:$B$400,B300,$A$6:$A$400,EOMONTH(A300,-1))=0,"",IF(D300&lt;SUMIFS($D$6:$D$400,$B$6:$B$400,B300,$A$6:$A$400,EOMONTH(A300,-1)),"Dropped","")))</f>
        <v/>
      </c>
      <c r="S300" s="41" t="str">
        <f aca="false">IF(B300="","",B300&amp;"|"&amp;(YEAR(A300)*100+MONTH(A300)))</f>
        <v/>
      </c>
    </row>
    <row r="301" customFormat="false" ht="15" hidden="false" customHeight="false" outlineLevel="0" collapsed="false">
      <c r="A301" s="37"/>
      <c r="C301" s="0" t="str">
        <f aca="false">IF(B301="","",IFERROR(INDEX(Project_Register!$B$6:$B$40,MATCH(B301,Project_Register!$A$6:$A$40,0)),"Unknown ID"))</f>
        <v/>
      </c>
      <c r="D301" s="38"/>
      <c r="E301" s="24"/>
      <c r="F301" s="24"/>
      <c r="G301" s="39"/>
      <c r="J301" s="39"/>
      <c r="K301" s="38" t="str">
        <f aca="false">IF(OR(B301="",T301="On Hold"),"",MAX(0,MIN(1,(A301-INDEX(Project_Register!$G$6:$G$40,MATCH(B301,Project_Register!$A$6:$A$40,0)))/(INDEX(Project_Register!$H$6:$H$40,MATCH(B301,Project_Register!$A$6:$A$40,0))-INDEX(Project_Register!$G$6:$G$40,MATCH(B301,Project_Register!$A$6:$A$40,0))))))</f>
        <v/>
      </c>
      <c r="L301" s="40" t="str">
        <f aca="false">IF(OR(B301="",D301="",T301="On Hold"),"",ROUND((D301-K301)*100,0))</f>
        <v/>
      </c>
      <c r="M301" s="38" t="str">
        <f aca="false">IF(OR(B301="",F301=""),"",F301/INDEX(Project_Register!$I$6:$I$40,MATCH(B301,Project_Register!$A$6:$A$40,0)))</f>
        <v/>
      </c>
      <c r="N301" s="40" t="str">
        <f aca="false">IF(OR(B301="",G301="",T301="On Hold"),"",G301-INDEX(Project_Register!$H$6:$H$40,MATCH(B301,Project_Register!$A$6:$A$40,0)))</f>
        <v/>
      </c>
      <c r="O301" s="0" t="str">
        <f aca="false">IF(B301="","",IF(D301="","No update",IF(AND(T301&lt;&gt;"Active",D301&lt;1),T301,IF(D301&gt;=1,"Complete",IF(OR(L301&lt;=SV_Red,M301&gt;Cost_Red,N301&gt;Slip_Red),"Red",IF(OR(L301&lt;=SV_Amber,M301&gt;Cost_Amber,N301&gt;Slip_Amber),"Amber","Green"))))))</f>
        <v/>
      </c>
      <c r="P301" s="0" t="str">
        <f aca="false">IF(AND(H301="Green",OR(O301="Amber",O301="Red")),"Watermelon","")</f>
        <v/>
      </c>
      <c r="Q301" s="0" t="str">
        <f aca="false">IF(B301="","",IF(J301="","Missing",IF(J301&gt;A301+UpdateDue,"Late","On time")))</f>
        <v/>
      </c>
      <c r="R301" s="0" t="str">
        <f aca="false">IF(OR(B301="",D301=""),"",IF(COUNTIFS($B$6:$B$400,B301,$A$6:$A$400,EOMONTH(A301,-1))=0,"",IF(D301&lt;SUMIFS($D$6:$D$400,$B$6:$B$400,B301,$A$6:$A$400,EOMONTH(A301,-1)),"Dropped","")))</f>
        <v/>
      </c>
      <c r="S301" s="41" t="str">
        <f aca="false">IF(B301="","",B301&amp;"|"&amp;(YEAR(A301)*100+MONTH(A301)))</f>
        <v/>
      </c>
    </row>
    <row r="302" customFormat="false" ht="15" hidden="false" customHeight="false" outlineLevel="0" collapsed="false">
      <c r="A302" s="37"/>
      <c r="C302" s="0" t="str">
        <f aca="false">IF(B302="","",IFERROR(INDEX(Project_Register!$B$6:$B$40,MATCH(B302,Project_Register!$A$6:$A$40,0)),"Unknown ID"))</f>
        <v/>
      </c>
      <c r="D302" s="38"/>
      <c r="E302" s="24"/>
      <c r="F302" s="24"/>
      <c r="G302" s="39"/>
      <c r="J302" s="39"/>
      <c r="K302" s="38" t="str">
        <f aca="false">IF(OR(B302="",T302="On Hold"),"",MAX(0,MIN(1,(A302-INDEX(Project_Register!$G$6:$G$40,MATCH(B302,Project_Register!$A$6:$A$40,0)))/(INDEX(Project_Register!$H$6:$H$40,MATCH(B302,Project_Register!$A$6:$A$40,0))-INDEX(Project_Register!$G$6:$G$40,MATCH(B302,Project_Register!$A$6:$A$40,0))))))</f>
        <v/>
      </c>
      <c r="L302" s="40" t="str">
        <f aca="false">IF(OR(B302="",D302="",T302="On Hold"),"",ROUND((D302-K302)*100,0))</f>
        <v/>
      </c>
      <c r="M302" s="38" t="str">
        <f aca="false">IF(OR(B302="",F302=""),"",F302/INDEX(Project_Register!$I$6:$I$40,MATCH(B302,Project_Register!$A$6:$A$40,0)))</f>
        <v/>
      </c>
      <c r="N302" s="40" t="str">
        <f aca="false">IF(OR(B302="",G302="",T302="On Hold"),"",G302-INDEX(Project_Register!$H$6:$H$40,MATCH(B302,Project_Register!$A$6:$A$40,0)))</f>
        <v/>
      </c>
      <c r="O302" s="0" t="str">
        <f aca="false">IF(B302="","",IF(D302="","No update",IF(AND(T302&lt;&gt;"Active",D302&lt;1),T302,IF(D302&gt;=1,"Complete",IF(OR(L302&lt;=SV_Red,M302&gt;Cost_Red,N302&gt;Slip_Red),"Red",IF(OR(L302&lt;=SV_Amber,M302&gt;Cost_Amber,N302&gt;Slip_Amber),"Amber","Green"))))))</f>
        <v/>
      </c>
      <c r="P302" s="0" t="str">
        <f aca="false">IF(AND(H302="Green",OR(O302="Amber",O302="Red")),"Watermelon","")</f>
        <v/>
      </c>
      <c r="Q302" s="0" t="str">
        <f aca="false">IF(B302="","",IF(J302="","Missing",IF(J302&gt;A302+UpdateDue,"Late","On time")))</f>
        <v/>
      </c>
      <c r="R302" s="0" t="str">
        <f aca="false">IF(OR(B302="",D302=""),"",IF(COUNTIFS($B$6:$B$400,B302,$A$6:$A$400,EOMONTH(A302,-1))=0,"",IF(D302&lt;SUMIFS($D$6:$D$400,$B$6:$B$400,B302,$A$6:$A$400,EOMONTH(A302,-1)),"Dropped","")))</f>
        <v/>
      </c>
      <c r="S302" s="41" t="str">
        <f aca="false">IF(B302="","",B302&amp;"|"&amp;(YEAR(A302)*100+MONTH(A302)))</f>
        <v/>
      </c>
    </row>
    <row r="303" customFormat="false" ht="15" hidden="false" customHeight="false" outlineLevel="0" collapsed="false">
      <c r="A303" s="37"/>
      <c r="C303" s="0" t="str">
        <f aca="false">IF(B303="","",IFERROR(INDEX(Project_Register!$B$6:$B$40,MATCH(B303,Project_Register!$A$6:$A$40,0)),"Unknown ID"))</f>
        <v/>
      </c>
      <c r="D303" s="38"/>
      <c r="E303" s="24"/>
      <c r="F303" s="24"/>
      <c r="G303" s="39"/>
      <c r="J303" s="39"/>
      <c r="K303" s="38" t="str">
        <f aca="false">IF(OR(B303="",T303="On Hold"),"",MAX(0,MIN(1,(A303-INDEX(Project_Register!$G$6:$G$40,MATCH(B303,Project_Register!$A$6:$A$40,0)))/(INDEX(Project_Register!$H$6:$H$40,MATCH(B303,Project_Register!$A$6:$A$40,0))-INDEX(Project_Register!$G$6:$G$40,MATCH(B303,Project_Register!$A$6:$A$40,0))))))</f>
        <v/>
      </c>
      <c r="L303" s="40" t="str">
        <f aca="false">IF(OR(B303="",D303="",T303="On Hold"),"",ROUND((D303-K303)*100,0))</f>
        <v/>
      </c>
      <c r="M303" s="38" t="str">
        <f aca="false">IF(OR(B303="",F303=""),"",F303/INDEX(Project_Register!$I$6:$I$40,MATCH(B303,Project_Register!$A$6:$A$40,0)))</f>
        <v/>
      </c>
      <c r="N303" s="40" t="str">
        <f aca="false">IF(OR(B303="",G303="",T303="On Hold"),"",G303-INDEX(Project_Register!$H$6:$H$40,MATCH(B303,Project_Register!$A$6:$A$40,0)))</f>
        <v/>
      </c>
      <c r="O303" s="0" t="str">
        <f aca="false">IF(B303="","",IF(D303="","No update",IF(AND(T303&lt;&gt;"Active",D303&lt;1),T303,IF(D303&gt;=1,"Complete",IF(OR(L303&lt;=SV_Red,M303&gt;Cost_Red,N303&gt;Slip_Red),"Red",IF(OR(L303&lt;=SV_Amber,M303&gt;Cost_Amber,N303&gt;Slip_Amber),"Amber","Green"))))))</f>
        <v/>
      </c>
      <c r="P303" s="0" t="str">
        <f aca="false">IF(AND(H303="Green",OR(O303="Amber",O303="Red")),"Watermelon","")</f>
        <v/>
      </c>
      <c r="Q303" s="0" t="str">
        <f aca="false">IF(B303="","",IF(J303="","Missing",IF(J303&gt;A303+UpdateDue,"Late","On time")))</f>
        <v/>
      </c>
      <c r="R303" s="0" t="str">
        <f aca="false">IF(OR(B303="",D303=""),"",IF(COUNTIFS($B$6:$B$400,B303,$A$6:$A$400,EOMONTH(A303,-1))=0,"",IF(D303&lt;SUMIFS($D$6:$D$400,$B$6:$B$400,B303,$A$6:$A$400,EOMONTH(A303,-1)),"Dropped","")))</f>
        <v/>
      </c>
      <c r="S303" s="41" t="str">
        <f aca="false">IF(B303="","",B303&amp;"|"&amp;(YEAR(A303)*100+MONTH(A303)))</f>
        <v/>
      </c>
    </row>
    <row r="304" customFormat="false" ht="15" hidden="false" customHeight="false" outlineLevel="0" collapsed="false">
      <c r="A304" s="37"/>
      <c r="C304" s="0" t="str">
        <f aca="false">IF(B304="","",IFERROR(INDEX(Project_Register!$B$6:$B$40,MATCH(B304,Project_Register!$A$6:$A$40,0)),"Unknown ID"))</f>
        <v/>
      </c>
      <c r="D304" s="38"/>
      <c r="E304" s="24"/>
      <c r="F304" s="24"/>
      <c r="G304" s="39"/>
      <c r="J304" s="39"/>
      <c r="K304" s="38" t="str">
        <f aca="false">IF(OR(B304="",T304="On Hold"),"",MAX(0,MIN(1,(A304-INDEX(Project_Register!$G$6:$G$40,MATCH(B304,Project_Register!$A$6:$A$40,0)))/(INDEX(Project_Register!$H$6:$H$40,MATCH(B304,Project_Register!$A$6:$A$40,0))-INDEX(Project_Register!$G$6:$G$40,MATCH(B304,Project_Register!$A$6:$A$40,0))))))</f>
        <v/>
      </c>
      <c r="L304" s="40" t="str">
        <f aca="false">IF(OR(B304="",D304="",T304="On Hold"),"",ROUND((D304-K304)*100,0))</f>
        <v/>
      </c>
      <c r="M304" s="38" t="str">
        <f aca="false">IF(OR(B304="",F304=""),"",F304/INDEX(Project_Register!$I$6:$I$40,MATCH(B304,Project_Register!$A$6:$A$40,0)))</f>
        <v/>
      </c>
      <c r="N304" s="40" t="str">
        <f aca="false">IF(OR(B304="",G304="",T304="On Hold"),"",G304-INDEX(Project_Register!$H$6:$H$40,MATCH(B304,Project_Register!$A$6:$A$40,0)))</f>
        <v/>
      </c>
      <c r="O304" s="0" t="str">
        <f aca="false">IF(B304="","",IF(D304="","No update",IF(AND(T304&lt;&gt;"Active",D304&lt;1),T304,IF(D304&gt;=1,"Complete",IF(OR(L304&lt;=SV_Red,M304&gt;Cost_Red,N304&gt;Slip_Red),"Red",IF(OR(L304&lt;=SV_Amber,M304&gt;Cost_Amber,N304&gt;Slip_Amber),"Amber","Green"))))))</f>
        <v/>
      </c>
      <c r="P304" s="0" t="str">
        <f aca="false">IF(AND(H304="Green",OR(O304="Amber",O304="Red")),"Watermelon","")</f>
        <v/>
      </c>
      <c r="Q304" s="0" t="str">
        <f aca="false">IF(B304="","",IF(J304="","Missing",IF(J304&gt;A304+UpdateDue,"Late","On time")))</f>
        <v/>
      </c>
      <c r="R304" s="0" t="str">
        <f aca="false">IF(OR(B304="",D304=""),"",IF(COUNTIFS($B$6:$B$400,B304,$A$6:$A$400,EOMONTH(A304,-1))=0,"",IF(D304&lt;SUMIFS($D$6:$D$400,$B$6:$B$400,B304,$A$6:$A$400,EOMONTH(A304,-1)),"Dropped","")))</f>
        <v/>
      </c>
      <c r="S304" s="41" t="str">
        <f aca="false">IF(B304="","",B304&amp;"|"&amp;(YEAR(A304)*100+MONTH(A304)))</f>
        <v/>
      </c>
    </row>
    <row r="305" customFormat="false" ht="15" hidden="false" customHeight="false" outlineLevel="0" collapsed="false">
      <c r="A305" s="37"/>
      <c r="C305" s="0" t="str">
        <f aca="false">IF(B305="","",IFERROR(INDEX(Project_Register!$B$6:$B$40,MATCH(B305,Project_Register!$A$6:$A$40,0)),"Unknown ID"))</f>
        <v/>
      </c>
      <c r="D305" s="38"/>
      <c r="E305" s="24"/>
      <c r="F305" s="24"/>
      <c r="G305" s="39"/>
      <c r="J305" s="39"/>
      <c r="K305" s="38" t="str">
        <f aca="false">IF(OR(B305="",T305="On Hold"),"",MAX(0,MIN(1,(A305-INDEX(Project_Register!$G$6:$G$40,MATCH(B305,Project_Register!$A$6:$A$40,0)))/(INDEX(Project_Register!$H$6:$H$40,MATCH(B305,Project_Register!$A$6:$A$40,0))-INDEX(Project_Register!$G$6:$G$40,MATCH(B305,Project_Register!$A$6:$A$40,0))))))</f>
        <v/>
      </c>
      <c r="L305" s="40" t="str">
        <f aca="false">IF(OR(B305="",D305="",T305="On Hold"),"",ROUND((D305-K305)*100,0))</f>
        <v/>
      </c>
      <c r="M305" s="38" t="str">
        <f aca="false">IF(OR(B305="",F305=""),"",F305/INDEX(Project_Register!$I$6:$I$40,MATCH(B305,Project_Register!$A$6:$A$40,0)))</f>
        <v/>
      </c>
      <c r="N305" s="40" t="str">
        <f aca="false">IF(OR(B305="",G305="",T305="On Hold"),"",G305-INDEX(Project_Register!$H$6:$H$40,MATCH(B305,Project_Register!$A$6:$A$40,0)))</f>
        <v/>
      </c>
      <c r="O305" s="0" t="str">
        <f aca="false">IF(B305="","",IF(D305="","No update",IF(AND(T305&lt;&gt;"Active",D305&lt;1),T305,IF(D305&gt;=1,"Complete",IF(OR(L305&lt;=SV_Red,M305&gt;Cost_Red,N305&gt;Slip_Red),"Red",IF(OR(L305&lt;=SV_Amber,M305&gt;Cost_Amber,N305&gt;Slip_Amber),"Amber","Green"))))))</f>
        <v/>
      </c>
      <c r="P305" s="0" t="str">
        <f aca="false">IF(AND(H305="Green",OR(O305="Amber",O305="Red")),"Watermelon","")</f>
        <v/>
      </c>
      <c r="Q305" s="0" t="str">
        <f aca="false">IF(B305="","",IF(J305="","Missing",IF(J305&gt;A305+UpdateDue,"Late","On time")))</f>
        <v/>
      </c>
      <c r="R305" s="0" t="str">
        <f aca="false">IF(OR(B305="",D305=""),"",IF(COUNTIFS($B$6:$B$400,B305,$A$6:$A$400,EOMONTH(A305,-1))=0,"",IF(D305&lt;SUMIFS($D$6:$D$400,$B$6:$B$400,B305,$A$6:$A$400,EOMONTH(A305,-1)),"Dropped","")))</f>
        <v/>
      </c>
      <c r="S305" s="41" t="str">
        <f aca="false">IF(B305="","",B305&amp;"|"&amp;(YEAR(A305)*100+MONTH(A305)))</f>
        <v/>
      </c>
    </row>
    <row r="306" customFormat="false" ht="15" hidden="false" customHeight="false" outlineLevel="0" collapsed="false">
      <c r="A306" s="37"/>
      <c r="C306" s="0" t="str">
        <f aca="false">IF(B306="","",IFERROR(INDEX(Project_Register!$B$6:$B$40,MATCH(B306,Project_Register!$A$6:$A$40,0)),"Unknown ID"))</f>
        <v/>
      </c>
      <c r="D306" s="38"/>
      <c r="E306" s="24"/>
      <c r="F306" s="24"/>
      <c r="G306" s="39"/>
      <c r="J306" s="39"/>
      <c r="K306" s="38" t="str">
        <f aca="false">IF(OR(B306="",T306="On Hold"),"",MAX(0,MIN(1,(A306-INDEX(Project_Register!$G$6:$G$40,MATCH(B306,Project_Register!$A$6:$A$40,0)))/(INDEX(Project_Register!$H$6:$H$40,MATCH(B306,Project_Register!$A$6:$A$40,0))-INDEX(Project_Register!$G$6:$G$40,MATCH(B306,Project_Register!$A$6:$A$40,0))))))</f>
        <v/>
      </c>
      <c r="L306" s="40" t="str">
        <f aca="false">IF(OR(B306="",D306="",T306="On Hold"),"",ROUND((D306-K306)*100,0))</f>
        <v/>
      </c>
      <c r="M306" s="38" t="str">
        <f aca="false">IF(OR(B306="",F306=""),"",F306/INDEX(Project_Register!$I$6:$I$40,MATCH(B306,Project_Register!$A$6:$A$40,0)))</f>
        <v/>
      </c>
      <c r="N306" s="40" t="str">
        <f aca="false">IF(OR(B306="",G306="",T306="On Hold"),"",G306-INDEX(Project_Register!$H$6:$H$40,MATCH(B306,Project_Register!$A$6:$A$40,0)))</f>
        <v/>
      </c>
      <c r="O306" s="0" t="str">
        <f aca="false">IF(B306="","",IF(D306="","No update",IF(AND(T306&lt;&gt;"Active",D306&lt;1),T306,IF(D306&gt;=1,"Complete",IF(OR(L306&lt;=SV_Red,M306&gt;Cost_Red,N306&gt;Slip_Red),"Red",IF(OR(L306&lt;=SV_Amber,M306&gt;Cost_Amber,N306&gt;Slip_Amber),"Amber","Green"))))))</f>
        <v/>
      </c>
      <c r="P306" s="0" t="str">
        <f aca="false">IF(AND(H306="Green",OR(O306="Amber",O306="Red")),"Watermelon","")</f>
        <v/>
      </c>
      <c r="Q306" s="0" t="str">
        <f aca="false">IF(B306="","",IF(J306="","Missing",IF(J306&gt;A306+UpdateDue,"Late","On time")))</f>
        <v/>
      </c>
      <c r="R306" s="0" t="str">
        <f aca="false">IF(OR(B306="",D306=""),"",IF(COUNTIFS($B$6:$B$400,B306,$A$6:$A$400,EOMONTH(A306,-1))=0,"",IF(D306&lt;SUMIFS($D$6:$D$400,$B$6:$B$400,B306,$A$6:$A$400,EOMONTH(A306,-1)),"Dropped","")))</f>
        <v/>
      </c>
      <c r="S306" s="41" t="str">
        <f aca="false">IF(B306="","",B306&amp;"|"&amp;(YEAR(A306)*100+MONTH(A306)))</f>
        <v/>
      </c>
    </row>
    <row r="307" customFormat="false" ht="15" hidden="false" customHeight="false" outlineLevel="0" collapsed="false">
      <c r="A307" s="37"/>
      <c r="C307" s="0" t="str">
        <f aca="false">IF(B307="","",IFERROR(INDEX(Project_Register!$B$6:$B$40,MATCH(B307,Project_Register!$A$6:$A$40,0)),"Unknown ID"))</f>
        <v/>
      </c>
      <c r="D307" s="38"/>
      <c r="E307" s="24"/>
      <c r="F307" s="24"/>
      <c r="G307" s="39"/>
      <c r="J307" s="39"/>
      <c r="K307" s="38" t="str">
        <f aca="false">IF(OR(B307="",T307="On Hold"),"",MAX(0,MIN(1,(A307-INDEX(Project_Register!$G$6:$G$40,MATCH(B307,Project_Register!$A$6:$A$40,0)))/(INDEX(Project_Register!$H$6:$H$40,MATCH(B307,Project_Register!$A$6:$A$40,0))-INDEX(Project_Register!$G$6:$G$40,MATCH(B307,Project_Register!$A$6:$A$40,0))))))</f>
        <v/>
      </c>
      <c r="L307" s="40" t="str">
        <f aca="false">IF(OR(B307="",D307="",T307="On Hold"),"",ROUND((D307-K307)*100,0))</f>
        <v/>
      </c>
      <c r="M307" s="38" t="str">
        <f aca="false">IF(OR(B307="",F307=""),"",F307/INDEX(Project_Register!$I$6:$I$40,MATCH(B307,Project_Register!$A$6:$A$40,0)))</f>
        <v/>
      </c>
      <c r="N307" s="40" t="str">
        <f aca="false">IF(OR(B307="",G307="",T307="On Hold"),"",G307-INDEX(Project_Register!$H$6:$H$40,MATCH(B307,Project_Register!$A$6:$A$40,0)))</f>
        <v/>
      </c>
      <c r="O307" s="0" t="str">
        <f aca="false">IF(B307="","",IF(D307="","No update",IF(AND(T307&lt;&gt;"Active",D307&lt;1),T307,IF(D307&gt;=1,"Complete",IF(OR(L307&lt;=SV_Red,M307&gt;Cost_Red,N307&gt;Slip_Red),"Red",IF(OR(L307&lt;=SV_Amber,M307&gt;Cost_Amber,N307&gt;Slip_Amber),"Amber","Green"))))))</f>
        <v/>
      </c>
      <c r="P307" s="0" t="str">
        <f aca="false">IF(AND(H307="Green",OR(O307="Amber",O307="Red")),"Watermelon","")</f>
        <v/>
      </c>
      <c r="Q307" s="0" t="str">
        <f aca="false">IF(B307="","",IF(J307="","Missing",IF(J307&gt;A307+UpdateDue,"Late","On time")))</f>
        <v/>
      </c>
      <c r="R307" s="0" t="str">
        <f aca="false">IF(OR(B307="",D307=""),"",IF(COUNTIFS($B$6:$B$400,B307,$A$6:$A$400,EOMONTH(A307,-1))=0,"",IF(D307&lt;SUMIFS($D$6:$D$400,$B$6:$B$400,B307,$A$6:$A$400,EOMONTH(A307,-1)),"Dropped","")))</f>
        <v/>
      </c>
      <c r="S307" s="41" t="str">
        <f aca="false">IF(B307="","",B307&amp;"|"&amp;(YEAR(A307)*100+MONTH(A307)))</f>
        <v/>
      </c>
    </row>
    <row r="308" customFormat="false" ht="15" hidden="false" customHeight="false" outlineLevel="0" collapsed="false">
      <c r="A308" s="37"/>
      <c r="C308" s="0" t="str">
        <f aca="false">IF(B308="","",IFERROR(INDEX(Project_Register!$B$6:$B$40,MATCH(B308,Project_Register!$A$6:$A$40,0)),"Unknown ID"))</f>
        <v/>
      </c>
      <c r="D308" s="38"/>
      <c r="E308" s="24"/>
      <c r="F308" s="24"/>
      <c r="G308" s="39"/>
      <c r="J308" s="39"/>
      <c r="K308" s="38" t="str">
        <f aca="false">IF(OR(B308="",T308="On Hold"),"",MAX(0,MIN(1,(A308-INDEX(Project_Register!$G$6:$G$40,MATCH(B308,Project_Register!$A$6:$A$40,0)))/(INDEX(Project_Register!$H$6:$H$40,MATCH(B308,Project_Register!$A$6:$A$40,0))-INDEX(Project_Register!$G$6:$G$40,MATCH(B308,Project_Register!$A$6:$A$40,0))))))</f>
        <v/>
      </c>
      <c r="L308" s="40" t="str">
        <f aca="false">IF(OR(B308="",D308="",T308="On Hold"),"",ROUND((D308-K308)*100,0))</f>
        <v/>
      </c>
      <c r="M308" s="38" t="str">
        <f aca="false">IF(OR(B308="",F308=""),"",F308/INDEX(Project_Register!$I$6:$I$40,MATCH(B308,Project_Register!$A$6:$A$40,0)))</f>
        <v/>
      </c>
      <c r="N308" s="40" t="str">
        <f aca="false">IF(OR(B308="",G308="",T308="On Hold"),"",G308-INDEX(Project_Register!$H$6:$H$40,MATCH(B308,Project_Register!$A$6:$A$40,0)))</f>
        <v/>
      </c>
      <c r="O308" s="0" t="str">
        <f aca="false">IF(B308="","",IF(D308="","No update",IF(AND(T308&lt;&gt;"Active",D308&lt;1),T308,IF(D308&gt;=1,"Complete",IF(OR(L308&lt;=SV_Red,M308&gt;Cost_Red,N308&gt;Slip_Red),"Red",IF(OR(L308&lt;=SV_Amber,M308&gt;Cost_Amber,N308&gt;Slip_Amber),"Amber","Green"))))))</f>
        <v/>
      </c>
      <c r="P308" s="0" t="str">
        <f aca="false">IF(AND(H308="Green",OR(O308="Amber",O308="Red")),"Watermelon","")</f>
        <v/>
      </c>
      <c r="Q308" s="0" t="str">
        <f aca="false">IF(B308="","",IF(J308="","Missing",IF(J308&gt;A308+UpdateDue,"Late","On time")))</f>
        <v/>
      </c>
      <c r="R308" s="0" t="str">
        <f aca="false">IF(OR(B308="",D308=""),"",IF(COUNTIFS($B$6:$B$400,B308,$A$6:$A$400,EOMONTH(A308,-1))=0,"",IF(D308&lt;SUMIFS($D$6:$D$400,$B$6:$B$400,B308,$A$6:$A$400,EOMONTH(A308,-1)),"Dropped","")))</f>
        <v/>
      </c>
      <c r="S308" s="41" t="str">
        <f aca="false">IF(B308="","",B308&amp;"|"&amp;(YEAR(A308)*100+MONTH(A308)))</f>
        <v/>
      </c>
    </row>
    <row r="309" customFormat="false" ht="15" hidden="false" customHeight="false" outlineLevel="0" collapsed="false">
      <c r="A309" s="37"/>
      <c r="C309" s="0" t="str">
        <f aca="false">IF(B309="","",IFERROR(INDEX(Project_Register!$B$6:$B$40,MATCH(B309,Project_Register!$A$6:$A$40,0)),"Unknown ID"))</f>
        <v/>
      </c>
      <c r="D309" s="38"/>
      <c r="E309" s="24"/>
      <c r="F309" s="24"/>
      <c r="G309" s="39"/>
      <c r="J309" s="39"/>
      <c r="K309" s="38" t="str">
        <f aca="false">IF(OR(B309="",T309="On Hold"),"",MAX(0,MIN(1,(A309-INDEX(Project_Register!$G$6:$G$40,MATCH(B309,Project_Register!$A$6:$A$40,0)))/(INDEX(Project_Register!$H$6:$H$40,MATCH(B309,Project_Register!$A$6:$A$40,0))-INDEX(Project_Register!$G$6:$G$40,MATCH(B309,Project_Register!$A$6:$A$40,0))))))</f>
        <v/>
      </c>
      <c r="L309" s="40" t="str">
        <f aca="false">IF(OR(B309="",D309="",T309="On Hold"),"",ROUND((D309-K309)*100,0))</f>
        <v/>
      </c>
      <c r="M309" s="38" t="str">
        <f aca="false">IF(OR(B309="",F309=""),"",F309/INDEX(Project_Register!$I$6:$I$40,MATCH(B309,Project_Register!$A$6:$A$40,0)))</f>
        <v/>
      </c>
      <c r="N309" s="40" t="str">
        <f aca="false">IF(OR(B309="",G309="",T309="On Hold"),"",G309-INDEX(Project_Register!$H$6:$H$40,MATCH(B309,Project_Register!$A$6:$A$40,0)))</f>
        <v/>
      </c>
      <c r="O309" s="0" t="str">
        <f aca="false">IF(B309="","",IF(D309="","No update",IF(AND(T309&lt;&gt;"Active",D309&lt;1),T309,IF(D309&gt;=1,"Complete",IF(OR(L309&lt;=SV_Red,M309&gt;Cost_Red,N309&gt;Slip_Red),"Red",IF(OR(L309&lt;=SV_Amber,M309&gt;Cost_Amber,N309&gt;Slip_Amber),"Amber","Green"))))))</f>
        <v/>
      </c>
      <c r="P309" s="0" t="str">
        <f aca="false">IF(AND(H309="Green",OR(O309="Amber",O309="Red")),"Watermelon","")</f>
        <v/>
      </c>
      <c r="Q309" s="0" t="str">
        <f aca="false">IF(B309="","",IF(J309="","Missing",IF(J309&gt;A309+UpdateDue,"Late","On time")))</f>
        <v/>
      </c>
      <c r="R309" s="0" t="str">
        <f aca="false">IF(OR(B309="",D309=""),"",IF(COUNTIFS($B$6:$B$400,B309,$A$6:$A$400,EOMONTH(A309,-1))=0,"",IF(D309&lt;SUMIFS($D$6:$D$400,$B$6:$B$400,B309,$A$6:$A$400,EOMONTH(A309,-1)),"Dropped","")))</f>
        <v/>
      </c>
      <c r="S309" s="41" t="str">
        <f aca="false">IF(B309="","",B309&amp;"|"&amp;(YEAR(A309)*100+MONTH(A309)))</f>
        <v/>
      </c>
    </row>
    <row r="310" customFormat="false" ht="15" hidden="false" customHeight="false" outlineLevel="0" collapsed="false">
      <c r="A310" s="37"/>
      <c r="C310" s="0" t="str">
        <f aca="false">IF(B310="","",IFERROR(INDEX(Project_Register!$B$6:$B$40,MATCH(B310,Project_Register!$A$6:$A$40,0)),"Unknown ID"))</f>
        <v/>
      </c>
      <c r="D310" s="38"/>
      <c r="E310" s="24"/>
      <c r="F310" s="24"/>
      <c r="G310" s="39"/>
      <c r="J310" s="39"/>
      <c r="K310" s="38" t="str">
        <f aca="false">IF(OR(B310="",T310="On Hold"),"",MAX(0,MIN(1,(A310-INDEX(Project_Register!$G$6:$G$40,MATCH(B310,Project_Register!$A$6:$A$40,0)))/(INDEX(Project_Register!$H$6:$H$40,MATCH(B310,Project_Register!$A$6:$A$40,0))-INDEX(Project_Register!$G$6:$G$40,MATCH(B310,Project_Register!$A$6:$A$40,0))))))</f>
        <v/>
      </c>
      <c r="L310" s="40" t="str">
        <f aca="false">IF(OR(B310="",D310="",T310="On Hold"),"",ROUND((D310-K310)*100,0))</f>
        <v/>
      </c>
      <c r="M310" s="38" t="str">
        <f aca="false">IF(OR(B310="",F310=""),"",F310/INDEX(Project_Register!$I$6:$I$40,MATCH(B310,Project_Register!$A$6:$A$40,0)))</f>
        <v/>
      </c>
      <c r="N310" s="40" t="str">
        <f aca="false">IF(OR(B310="",G310="",T310="On Hold"),"",G310-INDEX(Project_Register!$H$6:$H$40,MATCH(B310,Project_Register!$A$6:$A$40,0)))</f>
        <v/>
      </c>
      <c r="O310" s="0" t="str">
        <f aca="false">IF(B310="","",IF(D310="","No update",IF(AND(T310&lt;&gt;"Active",D310&lt;1),T310,IF(D310&gt;=1,"Complete",IF(OR(L310&lt;=SV_Red,M310&gt;Cost_Red,N310&gt;Slip_Red),"Red",IF(OR(L310&lt;=SV_Amber,M310&gt;Cost_Amber,N310&gt;Slip_Amber),"Amber","Green"))))))</f>
        <v/>
      </c>
      <c r="P310" s="0" t="str">
        <f aca="false">IF(AND(H310="Green",OR(O310="Amber",O310="Red")),"Watermelon","")</f>
        <v/>
      </c>
      <c r="Q310" s="0" t="str">
        <f aca="false">IF(B310="","",IF(J310="","Missing",IF(J310&gt;A310+UpdateDue,"Late","On time")))</f>
        <v/>
      </c>
      <c r="R310" s="0" t="str">
        <f aca="false">IF(OR(B310="",D310=""),"",IF(COUNTIFS($B$6:$B$400,B310,$A$6:$A$400,EOMONTH(A310,-1))=0,"",IF(D310&lt;SUMIFS($D$6:$D$400,$B$6:$B$400,B310,$A$6:$A$400,EOMONTH(A310,-1)),"Dropped","")))</f>
        <v/>
      </c>
      <c r="S310" s="41" t="str">
        <f aca="false">IF(B310="","",B310&amp;"|"&amp;(YEAR(A310)*100+MONTH(A310)))</f>
        <v/>
      </c>
    </row>
    <row r="311" customFormat="false" ht="15" hidden="false" customHeight="false" outlineLevel="0" collapsed="false">
      <c r="A311" s="37"/>
      <c r="C311" s="0" t="str">
        <f aca="false">IF(B311="","",IFERROR(INDEX(Project_Register!$B$6:$B$40,MATCH(B311,Project_Register!$A$6:$A$40,0)),"Unknown ID"))</f>
        <v/>
      </c>
      <c r="D311" s="38"/>
      <c r="E311" s="24"/>
      <c r="F311" s="24"/>
      <c r="G311" s="39"/>
      <c r="J311" s="39"/>
      <c r="K311" s="38" t="str">
        <f aca="false">IF(OR(B311="",T311="On Hold"),"",MAX(0,MIN(1,(A311-INDEX(Project_Register!$G$6:$G$40,MATCH(B311,Project_Register!$A$6:$A$40,0)))/(INDEX(Project_Register!$H$6:$H$40,MATCH(B311,Project_Register!$A$6:$A$40,0))-INDEX(Project_Register!$G$6:$G$40,MATCH(B311,Project_Register!$A$6:$A$40,0))))))</f>
        <v/>
      </c>
      <c r="L311" s="40" t="str">
        <f aca="false">IF(OR(B311="",D311="",T311="On Hold"),"",ROUND((D311-K311)*100,0))</f>
        <v/>
      </c>
      <c r="M311" s="38" t="str">
        <f aca="false">IF(OR(B311="",F311=""),"",F311/INDEX(Project_Register!$I$6:$I$40,MATCH(B311,Project_Register!$A$6:$A$40,0)))</f>
        <v/>
      </c>
      <c r="N311" s="40" t="str">
        <f aca="false">IF(OR(B311="",G311="",T311="On Hold"),"",G311-INDEX(Project_Register!$H$6:$H$40,MATCH(B311,Project_Register!$A$6:$A$40,0)))</f>
        <v/>
      </c>
      <c r="O311" s="0" t="str">
        <f aca="false">IF(B311="","",IF(D311="","No update",IF(AND(T311&lt;&gt;"Active",D311&lt;1),T311,IF(D311&gt;=1,"Complete",IF(OR(L311&lt;=SV_Red,M311&gt;Cost_Red,N311&gt;Slip_Red),"Red",IF(OR(L311&lt;=SV_Amber,M311&gt;Cost_Amber,N311&gt;Slip_Amber),"Amber","Green"))))))</f>
        <v/>
      </c>
      <c r="P311" s="0" t="str">
        <f aca="false">IF(AND(H311="Green",OR(O311="Amber",O311="Red")),"Watermelon","")</f>
        <v/>
      </c>
      <c r="Q311" s="0" t="str">
        <f aca="false">IF(B311="","",IF(J311="","Missing",IF(J311&gt;A311+UpdateDue,"Late","On time")))</f>
        <v/>
      </c>
      <c r="R311" s="0" t="str">
        <f aca="false">IF(OR(B311="",D311=""),"",IF(COUNTIFS($B$6:$B$400,B311,$A$6:$A$400,EOMONTH(A311,-1))=0,"",IF(D311&lt;SUMIFS($D$6:$D$400,$B$6:$B$400,B311,$A$6:$A$400,EOMONTH(A311,-1)),"Dropped","")))</f>
        <v/>
      </c>
      <c r="S311" s="41" t="str">
        <f aca="false">IF(B311="","",B311&amp;"|"&amp;(YEAR(A311)*100+MONTH(A311)))</f>
        <v/>
      </c>
    </row>
    <row r="312" customFormat="false" ht="15" hidden="false" customHeight="false" outlineLevel="0" collapsed="false">
      <c r="A312" s="37"/>
      <c r="C312" s="0" t="str">
        <f aca="false">IF(B312="","",IFERROR(INDEX(Project_Register!$B$6:$B$40,MATCH(B312,Project_Register!$A$6:$A$40,0)),"Unknown ID"))</f>
        <v/>
      </c>
      <c r="D312" s="38"/>
      <c r="E312" s="24"/>
      <c r="F312" s="24"/>
      <c r="G312" s="39"/>
      <c r="J312" s="39"/>
      <c r="K312" s="38" t="str">
        <f aca="false">IF(OR(B312="",T312="On Hold"),"",MAX(0,MIN(1,(A312-INDEX(Project_Register!$G$6:$G$40,MATCH(B312,Project_Register!$A$6:$A$40,0)))/(INDEX(Project_Register!$H$6:$H$40,MATCH(B312,Project_Register!$A$6:$A$40,0))-INDEX(Project_Register!$G$6:$G$40,MATCH(B312,Project_Register!$A$6:$A$40,0))))))</f>
        <v/>
      </c>
      <c r="L312" s="40" t="str">
        <f aca="false">IF(OR(B312="",D312="",T312="On Hold"),"",ROUND((D312-K312)*100,0))</f>
        <v/>
      </c>
      <c r="M312" s="38" t="str">
        <f aca="false">IF(OR(B312="",F312=""),"",F312/INDEX(Project_Register!$I$6:$I$40,MATCH(B312,Project_Register!$A$6:$A$40,0)))</f>
        <v/>
      </c>
      <c r="N312" s="40" t="str">
        <f aca="false">IF(OR(B312="",G312="",T312="On Hold"),"",G312-INDEX(Project_Register!$H$6:$H$40,MATCH(B312,Project_Register!$A$6:$A$40,0)))</f>
        <v/>
      </c>
      <c r="O312" s="0" t="str">
        <f aca="false">IF(B312="","",IF(D312="","No update",IF(AND(T312&lt;&gt;"Active",D312&lt;1),T312,IF(D312&gt;=1,"Complete",IF(OR(L312&lt;=SV_Red,M312&gt;Cost_Red,N312&gt;Slip_Red),"Red",IF(OR(L312&lt;=SV_Amber,M312&gt;Cost_Amber,N312&gt;Slip_Amber),"Amber","Green"))))))</f>
        <v/>
      </c>
      <c r="P312" s="0" t="str">
        <f aca="false">IF(AND(H312="Green",OR(O312="Amber",O312="Red")),"Watermelon","")</f>
        <v/>
      </c>
      <c r="Q312" s="0" t="str">
        <f aca="false">IF(B312="","",IF(J312="","Missing",IF(J312&gt;A312+UpdateDue,"Late","On time")))</f>
        <v/>
      </c>
      <c r="R312" s="0" t="str">
        <f aca="false">IF(OR(B312="",D312=""),"",IF(COUNTIFS($B$6:$B$400,B312,$A$6:$A$400,EOMONTH(A312,-1))=0,"",IF(D312&lt;SUMIFS($D$6:$D$400,$B$6:$B$400,B312,$A$6:$A$400,EOMONTH(A312,-1)),"Dropped","")))</f>
        <v/>
      </c>
      <c r="S312" s="41" t="str">
        <f aca="false">IF(B312="","",B312&amp;"|"&amp;(YEAR(A312)*100+MONTH(A312)))</f>
        <v/>
      </c>
    </row>
    <row r="313" customFormat="false" ht="15" hidden="false" customHeight="false" outlineLevel="0" collapsed="false">
      <c r="A313" s="37"/>
      <c r="C313" s="0" t="str">
        <f aca="false">IF(B313="","",IFERROR(INDEX(Project_Register!$B$6:$B$40,MATCH(B313,Project_Register!$A$6:$A$40,0)),"Unknown ID"))</f>
        <v/>
      </c>
      <c r="D313" s="38"/>
      <c r="E313" s="24"/>
      <c r="F313" s="24"/>
      <c r="G313" s="39"/>
      <c r="J313" s="39"/>
      <c r="K313" s="38" t="str">
        <f aca="false">IF(OR(B313="",T313="On Hold"),"",MAX(0,MIN(1,(A313-INDEX(Project_Register!$G$6:$G$40,MATCH(B313,Project_Register!$A$6:$A$40,0)))/(INDEX(Project_Register!$H$6:$H$40,MATCH(B313,Project_Register!$A$6:$A$40,0))-INDEX(Project_Register!$G$6:$G$40,MATCH(B313,Project_Register!$A$6:$A$40,0))))))</f>
        <v/>
      </c>
      <c r="L313" s="40" t="str">
        <f aca="false">IF(OR(B313="",D313="",T313="On Hold"),"",ROUND((D313-K313)*100,0))</f>
        <v/>
      </c>
      <c r="M313" s="38" t="str">
        <f aca="false">IF(OR(B313="",F313=""),"",F313/INDEX(Project_Register!$I$6:$I$40,MATCH(B313,Project_Register!$A$6:$A$40,0)))</f>
        <v/>
      </c>
      <c r="N313" s="40" t="str">
        <f aca="false">IF(OR(B313="",G313="",T313="On Hold"),"",G313-INDEX(Project_Register!$H$6:$H$40,MATCH(B313,Project_Register!$A$6:$A$40,0)))</f>
        <v/>
      </c>
      <c r="O313" s="0" t="str">
        <f aca="false">IF(B313="","",IF(D313="","No update",IF(AND(T313&lt;&gt;"Active",D313&lt;1),T313,IF(D313&gt;=1,"Complete",IF(OR(L313&lt;=SV_Red,M313&gt;Cost_Red,N313&gt;Slip_Red),"Red",IF(OR(L313&lt;=SV_Amber,M313&gt;Cost_Amber,N313&gt;Slip_Amber),"Amber","Green"))))))</f>
        <v/>
      </c>
      <c r="P313" s="0" t="str">
        <f aca="false">IF(AND(H313="Green",OR(O313="Amber",O313="Red")),"Watermelon","")</f>
        <v/>
      </c>
      <c r="Q313" s="0" t="str">
        <f aca="false">IF(B313="","",IF(J313="","Missing",IF(J313&gt;A313+UpdateDue,"Late","On time")))</f>
        <v/>
      </c>
      <c r="R313" s="0" t="str">
        <f aca="false">IF(OR(B313="",D313=""),"",IF(COUNTIFS($B$6:$B$400,B313,$A$6:$A$400,EOMONTH(A313,-1))=0,"",IF(D313&lt;SUMIFS($D$6:$D$400,$B$6:$B$400,B313,$A$6:$A$400,EOMONTH(A313,-1)),"Dropped","")))</f>
        <v/>
      </c>
      <c r="S313" s="41" t="str">
        <f aca="false">IF(B313="","",B313&amp;"|"&amp;(YEAR(A313)*100+MONTH(A313)))</f>
        <v/>
      </c>
    </row>
    <row r="314" customFormat="false" ht="15" hidden="false" customHeight="false" outlineLevel="0" collapsed="false">
      <c r="A314" s="37"/>
      <c r="C314" s="0" t="str">
        <f aca="false">IF(B314="","",IFERROR(INDEX(Project_Register!$B$6:$B$40,MATCH(B314,Project_Register!$A$6:$A$40,0)),"Unknown ID"))</f>
        <v/>
      </c>
      <c r="D314" s="38"/>
      <c r="E314" s="24"/>
      <c r="F314" s="24"/>
      <c r="G314" s="39"/>
      <c r="J314" s="39"/>
      <c r="K314" s="38" t="str">
        <f aca="false">IF(OR(B314="",T314="On Hold"),"",MAX(0,MIN(1,(A314-INDEX(Project_Register!$G$6:$G$40,MATCH(B314,Project_Register!$A$6:$A$40,0)))/(INDEX(Project_Register!$H$6:$H$40,MATCH(B314,Project_Register!$A$6:$A$40,0))-INDEX(Project_Register!$G$6:$G$40,MATCH(B314,Project_Register!$A$6:$A$40,0))))))</f>
        <v/>
      </c>
      <c r="L314" s="40" t="str">
        <f aca="false">IF(OR(B314="",D314="",T314="On Hold"),"",ROUND((D314-K314)*100,0))</f>
        <v/>
      </c>
      <c r="M314" s="38" t="str">
        <f aca="false">IF(OR(B314="",F314=""),"",F314/INDEX(Project_Register!$I$6:$I$40,MATCH(B314,Project_Register!$A$6:$A$40,0)))</f>
        <v/>
      </c>
      <c r="N314" s="40" t="str">
        <f aca="false">IF(OR(B314="",G314="",T314="On Hold"),"",G314-INDEX(Project_Register!$H$6:$H$40,MATCH(B314,Project_Register!$A$6:$A$40,0)))</f>
        <v/>
      </c>
      <c r="O314" s="0" t="str">
        <f aca="false">IF(B314="","",IF(D314="","No update",IF(AND(T314&lt;&gt;"Active",D314&lt;1),T314,IF(D314&gt;=1,"Complete",IF(OR(L314&lt;=SV_Red,M314&gt;Cost_Red,N314&gt;Slip_Red),"Red",IF(OR(L314&lt;=SV_Amber,M314&gt;Cost_Amber,N314&gt;Slip_Amber),"Amber","Green"))))))</f>
        <v/>
      </c>
      <c r="P314" s="0" t="str">
        <f aca="false">IF(AND(H314="Green",OR(O314="Amber",O314="Red")),"Watermelon","")</f>
        <v/>
      </c>
      <c r="Q314" s="0" t="str">
        <f aca="false">IF(B314="","",IF(J314="","Missing",IF(J314&gt;A314+UpdateDue,"Late","On time")))</f>
        <v/>
      </c>
      <c r="R314" s="0" t="str">
        <f aca="false">IF(OR(B314="",D314=""),"",IF(COUNTIFS($B$6:$B$400,B314,$A$6:$A$400,EOMONTH(A314,-1))=0,"",IF(D314&lt;SUMIFS($D$6:$D$400,$B$6:$B$400,B314,$A$6:$A$400,EOMONTH(A314,-1)),"Dropped","")))</f>
        <v/>
      </c>
      <c r="S314" s="41" t="str">
        <f aca="false">IF(B314="","",B314&amp;"|"&amp;(YEAR(A314)*100+MONTH(A314)))</f>
        <v/>
      </c>
    </row>
    <row r="315" customFormat="false" ht="15" hidden="false" customHeight="false" outlineLevel="0" collapsed="false">
      <c r="A315" s="37"/>
      <c r="C315" s="0" t="str">
        <f aca="false">IF(B315="","",IFERROR(INDEX(Project_Register!$B$6:$B$40,MATCH(B315,Project_Register!$A$6:$A$40,0)),"Unknown ID"))</f>
        <v/>
      </c>
      <c r="D315" s="38"/>
      <c r="E315" s="24"/>
      <c r="F315" s="24"/>
      <c r="G315" s="39"/>
      <c r="J315" s="39"/>
      <c r="K315" s="38" t="str">
        <f aca="false">IF(OR(B315="",T315="On Hold"),"",MAX(0,MIN(1,(A315-INDEX(Project_Register!$G$6:$G$40,MATCH(B315,Project_Register!$A$6:$A$40,0)))/(INDEX(Project_Register!$H$6:$H$40,MATCH(B315,Project_Register!$A$6:$A$40,0))-INDEX(Project_Register!$G$6:$G$40,MATCH(B315,Project_Register!$A$6:$A$40,0))))))</f>
        <v/>
      </c>
      <c r="L315" s="40" t="str">
        <f aca="false">IF(OR(B315="",D315="",T315="On Hold"),"",ROUND((D315-K315)*100,0))</f>
        <v/>
      </c>
      <c r="M315" s="38" t="str">
        <f aca="false">IF(OR(B315="",F315=""),"",F315/INDEX(Project_Register!$I$6:$I$40,MATCH(B315,Project_Register!$A$6:$A$40,0)))</f>
        <v/>
      </c>
      <c r="N315" s="40" t="str">
        <f aca="false">IF(OR(B315="",G315="",T315="On Hold"),"",G315-INDEX(Project_Register!$H$6:$H$40,MATCH(B315,Project_Register!$A$6:$A$40,0)))</f>
        <v/>
      </c>
      <c r="O315" s="0" t="str">
        <f aca="false">IF(B315="","",IF(D315="","No update",IF(AND(T315&lt;&gt;"Active",D315&lt;1),T315,IF(D315&gt;=1,"Complete",IF(OR(L315&lt;=SV_Red,M315&gt;Cost_Red,N315&gt;Slip_Red),"Red",IF(OR(L315&lt;=SV_Amber,M315&gt;Cost_Amber,N315&gt;Slip_Amber),"Amber","Green"))))))</f>
        <v/>
      </c>
      <c r="P315" s="0" t="str">
        <f aca="false">IF(AND(H315="Green",OR(O315="Amber",O315="Red")),"Watermelon","")</f>
        <v/>
      </c>
      <c r="Q315" s="0" t="str">
        <f aca="false">IF(B315="","",IF(J315="","Missing",IF(J315&gt;A315+UpdateDue,"Late","On time")))</f>
        <v/>
      </c>
      <c r="R315" s="0" t="str">
        <f aca="false">IF(OR(B315="",D315=""),"",IF(COUNTIFS($B$6:$B$400,B315,$A$6:$A$400,EOMONTH(A315,-1))=0,"",IF(D315&lt;SUMIFS($D$6:$D$400,$B$6:$B$400,B315,$A$6:$A$400,EOMONTH(A315,-1)),"Dropped","")))</f>
        <v/>
      </c>
      <c r="S315" s="41" t="str">
        <f aca="false">IF(B315="","",B315&amp;"|"&amp;(YEAR(A315)*100+MONTH(A315)))</f>
        <v/>
      </c>
    </row>
    <row r="316" customFormat="false" ht="15" hidden="false" customHeight="false" outlineLevel="0" collapsed="false">
      <c r="A316" s="37"/>
      <c r="C316" s="0" t="str">
        <f aca="false">IF(B316="","",IFERROR(INDEX(Project_Register!$B$6:$B$40,MATCH(B316,Project_Register!$A$6:$A$40,0)),"Unknown ID"))</f>
        <v/>
      </c>
      <c r="D316" s="38"/>
      <c r="E316" s="24"/>
      <c r="F316" s="24"/>
      <c r="G316" s="39"/>
      <c r="J316" s="39"/>
      <c r="K316" s="38" t="str">
        <f aca="false">IF(OR(B316="",T316="On Hold"),"",MAX(0,MIN(1,(A316-INDEX(Project_Register!$G$6:$G$40,MATCH(B316,Project_Register!$A$6:$A$40,0)))/(INDEX(Project_Register!$H$6:$H$40,MATCH(B316,Project_Register!$A$6:$A$40,0))-INDEX(Project_Register!$G$6:$G$40,MATCH(B316,Project_Register!$A$6:$A$40,0))))))</f>
        <v/>
      </c>
      <c r="L316" s="40" t="str">
        <f aca="false">IF(OR(B316="",D316="",T316="On Hold"),"",ROUND((D316-K316)*100,0))</f>
        <v/>
      </c>
      <c r="M316" s="38" t="str">
        <f aca="false">IF(OR(B316="",F316=""),"",F316/INDEX(Project_Register!$I$6:$I$40,MATCH(B316,Project_Register!$A$6:$A$40,0)))</f>
        <v/>
      </c>
      <c r="N316" s="40" t="str">
        <f aca="false">IF(OR(B316="",G316="",T316="On Hold"),"",G316-INDEX(Project_Register!$H$6:$H$40,MATCH(B316,Project_Register!$A$6:$A$40,0)))</f>
        <v/>
      </c>
      <c r="O316" s="0" t="str">
        <f aca="false">IF(B316="","",IF(D316="","No update",IF(AND(T316&lt;&gt;"Active",D316&lt;1),T316,IF(D316&gt;=1,"Complete",IF(OR(L316&lt;=SV_Red,M316&gt;Cost_Red,N316&gt;Slip_Red),"Red",IF(OR(L316&lt;=SV_Amber,M316&gt;Cost_Amber,N316&gt;Slip_Amber),"Amber","Green"))))))</f>
        <v/>
      </c>
      <c r="P316" s="0" t="str">
        <f aca="false">IF(AND(H316="Green",OR(O316="Amber",O316="Red")),"Watermelon","")</f>
        <v/>
      </c>
      <c r="Q316" s="0" t="str">
        <f aca="false">IF(B316="","",IF(J316="","Missing",IF(J316&gt;A316+UpdateDue,"Late","On time")))</f>
        <v/>
      </c>
      <c r="R316" s="0" t="str">
        <f aca="false">IF(OR(B316="",D316=""),"",IF(COUNTIFS($B$6:$B$400,B316,$A$6:$A$400,EOMONTH(A316,-1))=0,"",IF(D316&lt;SUMIFS($D$6:$D$400,$B$6:$B$400,B316,$A$6:$A$400,EOMONTH(A316,-1)),"Dropped","")))</f>
        <v/>
      </c>
      <c r="S316" s="41" t="str">
        <f aca="false">IF(B316="","",B316&amp;"|"&amp;(YEAR(A316)*100+MONTH(A316)))</f>
        <v/>
      </c>
    </row>
    <row r="317" customFormat="false" ht="15" hidden="false" customHeight="false" outlineLevel="0" collapsed="false">
      <c r="A317" s="37"/>
      <c r="C317" s="0" t="str">
        <f aca="false">IF(B317="","",IFERROR(INDEX(Project_Register!$B$6:$B$40,MATCH(B317,Project_Register!$A$6:$A$40,0)),"Unknown ID"))</f>
        <v/>
      </c>
      <c r="D317" s="38"/>
      <c r="E317" s="24"/>
      <c r="F317" s="24"/>
      <c r="G317" s="39"/>
      <c r="J317" s="39"/>
      <c r="K317" s="38" t="str">
        <f aca="false">IF(OR(B317="",T317="On Hold"),"",MAX(0,MIN(1,(A317-INDEX(Project_Register!$G$6:$G$40,MATCH(B317,Project_Register!$A$6:$A$40,0)))/(INDEX(Project_Register!$H$6:$H$40,MATCH(B317,Project_Register!$A$6:$A$40,0))-INDEX(Project_Register!$G$6:$G$40,MATCH(B317,Project_Register!$A$6:$A$40,0))))))</f>
        <v/>
      </c>
      <c r="L317" s="40" t="str">
        <f aca="false">IF(OR(B317="",D317="",T317="On Hold"),"",ROUND((D317-K317)*100,0))</f>
        <v/>
      </c>
      <c r="M317" s="38" t="str">
        <f aca="false">IF(OR(B317="",F317=""),"",F317/INDEX(Project_Register!$I$6:$I$40,MATCH(B317,Project_Register!$A$6:$A$40,0)))</f>
        <v/>
      </c>
      <c r="N317" s="40" t="str">
        <f aca="false">IF(OR(B317="",G317="",T317="On Hold"),"",G317-INDEX(Project_Register!$H$6:$H$40,MATCH(B317,Project_Register!$A$6:$A$40,0)))</f>
        <v/>
      </c>
      <c r="O317" s="0" t="str">
        <f aca="false">IF(B317="","",IF(D317="","No update",IF(AND(T317&lt;&gt;"Active",D317&lt;1),T317,IF(D317&gt;=1,"Complete",IF(OR(L317&lt;=SV_Red,M317&gt;Cost_Red,N317&gt;Slip_Red),"Red",IF(OR(L317&lt;=SV_Amber,M317&gt;Cost_Amber,N317&gt;Slip_Amber),"Amber","Green"))))))</f>
        <v/>
      </c>
      <c r="P317" s="0" t="str">
        <f aca="false">IF(AND(H317="Green",OR(O317="Amber",O317="Red")),"Watermelon","")</f>
        <v/>
      </c>
      <c r="Q317" s="0" t="str">
        <f aca="false">IF(B317="","",IF(J317="","Missing",IF(J317&gt;A317+UpdateDue,"Late","On time")))</f>
        <v/>
      </c>
      <c r="R317" s="0" t="str">
        <f aca="false">IF(OR(B317="",D317=""),"",IF(COUNTIFS($B$6:$B$400,B317,$A$6:$A$400,EOMONTH(A317,-1))=0,"",IF(D317&lt;SUMIFS($D$6:$D$400,$B$6:$B$400,B317,$A$6:$A$400,EOMONTH(A317,-1)),"Dropped","")))</f>
        <v/>
      </c>
      <c r="S317" s="41" t="str">
        <f aca="false">IF(B317="","",B317&amp;"|"&amp;(YEAR(A317)*100+MONTH(A317)))</f>
        <v/>
      </c>
    </row>
    <row r="318" customFormat="false" ht="15" hidden="false" customHeight="false" outlineLevel="0" collapsed="false">
      <c r="A318" s="37"/>
      <c r="C318" s="0" t="str">
        <f aca="false">IF(B318="","",IFERROR(INDEX(Project_Register!$B$6:$B$40,MATCH(B318,Project_Register!$A$6:$A$40,0)),"Unknown ID"))</f>
        <v/>
      </c>
      <c r="D318" s="38"/>
      <c r="E318" s="24"/>
      <c r="F318" s="24"/>
      <c r="G318" s="39"/>
      <c r="J318" s="39"/>
      <c r="K318" s="38" t="str">
        <f aca="false">IF(OR(B318="",T318="On Hold"),"",MAX(0,MIN(1,(A318-INDEX(Project_Register!$G$6:$G$40,MATCH(B318,Project_Register!$A$6:$A$40,0)))/(INDEX(Project_Register!$H$6:$H$40,MATCH(B318,Project_Register!$A$6:$A$40,0))-INDEX(Project_Register!$G$6:$G$40,MATCH(B318,Project_Register!$A$6:$A$40,0))))))</f>
        <v/>
      </c>
      <c r="L318" s="40" t="str">
        <f aca="false">IF(OR(B318="",D318="",T318="On Hold"),"",ROUND((D318-K318)*100,0))</f>
        <v/>
      </c>
      <c r="M318" s="38" t="str">
        <f aca="false">IF(OR(B318="",F318=""),"",F318/INDEX(Project_Register!$I$6:$I$40,MATCH(B318,Project_Register!$A$6:$A$40,0)))</f>
        <v/>
      </c>
      <c r="N318" s="40" t="str">
        <f aca="false">IF(OR(B318="",G318="",T318="On Hold"),"",G318-INDEX(Project_Register!$H$6:$H$40,MATCH(B318,Project_Register!$A$6:$A$40,0)))</f>
        <v/>
      </c>
      <c r="O318" s="0" t="str">
        <f aca="false">IF(B318="","",IF(D318="","No update",IF(AND(T318&lt;&gt;"Active",D318&lt;1),T318,IF(D318&gt;=1,"Complete",IF(OR(L318&lt;=SV_Red,M318&gt;Cost_Red,N318&gt;Slip_Red),"Red",IF(OR(L318&lt;=SV_Amber,M318&gt;Cost_Amber,N318&gt;Slip_Amber),"Amber","Green"))))))</f>
        <v/>
      </c>
      <c r="P318" s="0" t="str">
        <f aca="false">IF(AND(H318="Green",OR(O318="Amber",O318="Red")),"Watermelon","")</f>
        <v/>
      </c>
      <c r="Q318" s="0" t="str">
        <f aca="false">IF(B318="","",IF(J318="","Missing",IF(J318&gt;A318+UpdateDue,"Late","On time")))</f>
        <v/>
      </c>
      <c r="R318" s="0" t="str">
        <f aca="false">IF(OR(B318="",D318=""),"",IF(COUNTIFS($B$6:$B$400,B318,$A$6:$A$400,EOMONTH(A318,-1))=0,"",IF(D318&lt;SUMIFS($D$6:$D$400,$B$6:$B$400,B318,$A$6:$A$400,EOMONTH(A318,-1)),"Dropped","")))</f>
        <v/>
      </c>
      <c r="S318" s="41" t="str">
        <f aca="false">IF(B318="","",B318&amp;"|"&amp;(YEAR(A318)*100+MONTH(A318)))</f>
        <v/>
      </c>
    </row>
    <row r="319" customFormat="false" ht="15" hidden="false" customHeight="false" outlineLevel="0" collapsed="false">
      <c r="A319" s="37"/>
      <c r="C319" s="0" t="str">
        <f aca="false">IF(B319="","",IFERROR(INDEX(Project_Register!$B$6:$B$40,MATCH(B319,Project_Register!$A$6:$A$40,0)),"Unknown ID"))</f>
        <v/>
      </c>
      <c r="D319" s="38"/>
      <c r="E319" s="24"/>
      <c r="F319" s="24"/>
      <c r="G319" s="39"/>
      <c r="J319" s="39"/>
      <c r="K319" s="38" t="str">
        <f aca="false">IF(OR(B319="",T319="On Hold"),"",MAX(0,MIN(1,(A319-INDEX(Project_Register!$G$6:$G$40,MATCH(B319,Project_Register!$A$6:$A$40,0)))/(INDEX(Project_Register!$H$6:$H$40,MATCH(B319,Project_Register!$A$6:$A$40,0))-INDEX(Project_Register!$G$6:$G$40,MATCH(B319,Project_Register!$A$6:$A$40,0))))))</f>
        <v/>
      </c>
      <c r="L319" s="40" t="str">
        <f aca="false">IF(OR(B319="",D319="",T319="On Hold"),"",ROUND((D319-K319)*100,0))</f>
        <v/>
      </c>
      <c r="M319" s="38" t="str">
        <f aca="false">IF(OR(B319="",F319=""),"",F319/INDEX(Project_Register!$I$6:$I$40,MATCH(B319,Project_Register!$A$6:$A$40,0)))</f>
        <v/>
      </c>
      <c r="N319" s="40" t="str">
        <f aca="false">IF(OR(B319="",G319="",T319="On Hold"),"",G319-INDEX(Project_Register!$H$6:$H$40,MATCH(B319,Project_Register!$A$6:$A$40,0)))</f>
        <v/>
      </c>
      <c r="O319" s="0" t="str">
        <f aca="false">IF(B319="","",IF(D319="","No update",IF(AND(T319&lt;&gt;"Active",D319&lt;1),T319,IF(D319&gt;=1,"Complete",IF(OR(L319&lt;=SV_Red,M319&gt;Cost_Red,N319&gt;Slip_Red),"Red",IF(OR(L319&lt;=SV_Amber,M319&gt;Cost_Amber,N319&gt;Slip_Amber),"Amber","Green"))))))</f>
        <v/>
      </c>
      <c r="P319" s="0" t="str">
        <f aca="false">IF(AND(H319="Green",OR(O319="Amber",O319="Red")),"Watermelon","")</f>
        <v/>
      </c>
      <c r="Q319" s="0" t="str">
        <f aca="false">IF(B319="","",IF(J319="","Missing",IF(J319&gt;A319+UpdateDue,"Late","On time")))</f>
        <v/>
      </c>
      <c r="R319" s="0" t="str">
        <f aca="false">IF(OR(B319="",D319=""),"",IF(COUNTIFS($B$6:$B$400,B319,$A$6:$A$400,EOMONTH(A319,-1))=0,"",IF(D319&lt;SUMIFS($D$6:$D$400,$B$6:$B$400,B319,$A$6:$A$400,EOMONTH(A319,-1)),"Dropped","")))</f>
        <v/>
      </c>
      <c r="S319" s="41" t="str">
        <f aca="false">IF(B319="","",B319&amp;"|"&amp;(YEAR(A319)*100+MONTH(A319)))</f>
        <v/>
      </c>
    </row>
    <row r="320" customFormat="false" ht="15" hidden="false" customHeight="false" outlineLevel="0" collapsed="false">
      <c r="A320" s="37"/>
      <c r="C320" s="0" t="str">
        <f aca="false">IF(B320="","",IFERROR(INDEX(Project_Register!$B$6:$B$40,MATCH(B320,Project_Register!$A$6:$A$40,0)),"Unknown ID"))</f>
        <v/>
      </c>
      <c r="D320" s="38"/>
      <c r="E320" s="24"/>
      <c r="F320" s="24"/>
      <c r="G320" s="39"/>
      <c r="J320" s="39"/>
      <c r="K320" s="38" t="str">
        <f aca="false">IF(OR(B320="",T320="On Hold"),"",MAX(0,MIN(1,(A320-INDEX(Project_Register!$G$6:$G$40,MATCH(B320,Project_Register!$A$6:$A$40,0)))/(INDEX(Project_Register!$H$6:$H$40,MATCH(B320,Project_Register!$A$6:$A$40,0))-INDEX(Project_Register!$G$6:$G$40,MATCH(B320,Project_Register!$A$6:$A$40,0))))))</f>
        <v/>
      </c>
      <c r="L320" s="40" t="str">
        <f aca="false">IF(OR(B320="",D320="",T320="On Hold"),"",ROUND((D320-K320)*100,0))</f>
        <v/>
      </c>
      <c r="M320" s="38" t="str">
        <f aca="false">IF(OR(B320="",F320=""),"",F320/INDEX(Project_Register!$I$6:$I$40,MATCH(B320,Project_Register!$A$6:$A$40,0)))</f>
        <v/>
      </c>
      <c r="N320" s="40" t="str">
        <f aca="false">IF(OR(B320="",G320="",T320="On Hold"),"",G320-INDEX(Project_Register!$H$6:$H$40,MATCH(B320,Project_Register!$A$6:$A$40,0)))</f>
        <v/>
      </c>
      <c r="O320" s="0" t="str">
        <f aca="false">IF(B320="","",IF(D320="","No update",IF(AND(T320&lt;&gt;"Active",D320&lt;1),T320,IF(D320&gt;=1,"Complete",IF(OR(L320&lt;=SV_Red,M320&gt;Cost_Red,N320&gt;Slip_Red),"Red",IF(OR(L320&lt;=SV_Amber,M320&gt;Cost_Amber,N320&gt;Slip_Amber),"Amber","Green"))))))</f>
        <v/>
      </c>
      <c r="P320" s="0" t="str">
        <f aca="false">IF(AND(H320="Green",OR(O320="Amber",O320="Red")),"Watermelon","")</f>
        <v/>
      </c>
      <c r="Q320" s="0" t="str">
        <f aca="false">IF(B320="","",IF(J320="","Missing",IF(J320&gt;A320+UpdateDue,"Late","On time")))</f>
        <v/>
      </c>
      <c r="R320" s="0" t="str">
        <f aca="false">IF(OR(B320="",D320=""),"",IF(COUNTIFS($B$6:$B$400,B320,$A$6:$A$400,EOMONTH(A320,-1))=0,"",IF(D320&lt;SUMIFS($D$6:$D$400,$B$6:$B$400,B320,$A$6:$A$400,EOMONTH(A320,-1)),"Dropped","")))</f>
        <v/>
      </c>
      <c r="S320" s="41" t="str">
        <f aca="false">IF(B320="","",B320&amp;"|"&amp;(YEAR(A320)*100+MONTH(A320)))</f>
        <v/>
      </c>
    </row>
    <row r="321" customFormat="false" ht="15" hidden="false" customHeight="false" outlineLevel="0" collapsed="false">
      <c r="A321" s="37"/>
      <c r="C321" s="0" t="str">
        <f aca="false">IF(B321="","",IFERROR(INDEX(Project_Register!$B$6:$B$40,MATCH(B321,Project_Register!$A$6:$A$40,0)),"Unknown ID"))</f>
        <v/>
      </c>
      <c r="D321" s="38"/>
      <c r="E321" s="24"/>
      <c r="F321" s="24"/>
      <c r="G321" s="39"/>
      <c r="J321" s="39"/>
      <c r="K321" s="38" t="str">
        <f aca="false">IF(OR(B321="",T321="On Hold"),"",MAX(0,MIN(1,(A321-INDEX(Project_Register!$G$6:$G$40,MATCH(B321,Project_Register!$A$6:$A$40,0)))/(INDEX(Project_Register!$H$6:$H$40,MATCH(B321,Project_Register!$A$6:$A$40,0))-INDEX(Project_Register!$G$6:$G$40,MATCH(B321,Project_Register!$A$6:$A$40,0))))))</f>
        <v/>
      </c>
      <c r="L321" s="40" t="str">
        <f aca="false">IF(OR(B321="",D321="",T321="On Hold"),"",ROUND((D321-K321)*100,0))</f>
        <v/>
      </c>
      <c r="M321" s="38" t="str">
        <f aca="false">IF(OR(B321="",F321=""),"",F321/INDEX(Project_Register!$I$6:$I$40,MATCH(B321,Project_Register!$A$6:$A$40,0)))</f>
        <v/>
      </c>
      <c r="N321" s="40" t="str">
        <f aca="false">IF(OR(B321="",G321="",T321="On Hold"),"",G321-INDEX(Project_Register!$H$6:$H$40,MATCH(B321,Project_Register!$A$6:$A$40,0)))</f>
        <v/>
      </c>
      <c r="O321" s="0" t="str">
        <f aca="false">IF(B321="","",IF(D321="","No update",IF(AND(T321&lt;&gt;"Active",D321&lt;1),T321,IF(D321&gt;=1,"Complete",IF(OR(L321&lt;=SV_Red,M321&gt;Cost_Red,N321&gt;Slip_Red),"Red",IF(OR(L321&lt;=SV_Amber,M321&gt;Cost_Amber,N321&gt;Slip_Amber),"Amber","Green"))))))</f>
        <v/>
      </c>
      <c r="P321" s="0" t="str">
        <f aca="false">IF(AND(H321="Green",OR(O321="Amber",O321="Red")),"Watermelon","")</f>
        <v/>
      </c>
      <c r="Q321" s="0" t="str">
        <f aca="false">IF(B321="","",IF(J321="","Missing",IF(J321&gt;A321+UpdateDue,"Late","On time")))</f>
        <v/>
      </c>
      <c r="R321" s="0" t="str">
        <f aca="false">IF(OR(B321="",D321=""),"",IF(COUNTIFS($B$6:$B$400,B321,$A$6:$A$400,EOMONTH(A321,-1))=0,"",IF(D321&lt;SUMIFS($D$6:$D$400,$B$6:$B$400,B321,$A$6:$A$400,EOMONTH(A321,-1)),"Dropped","")))</f>
        <v/>
      </c>
      <c r="S321" s="41" t="str">
        <f aca="false">IF(B321="","",B321&amp;"|"&amp;(YEAR(A321)*100+MONTH(A321)))</f>
        <v/>
      </c>
    </row>
    <row r="322" customFormat="false" ht="15" hidden="false" customHeight="false" outlineLevel="0" collapsed="false">
      <c r="A322" s="37"/>
      <c r="C322" s="0" t="str">
        <f aca="false">IF(B322="","",IFERROR(INDEX(Project_Register!$B$6:$B$40,MATCH(B322,Project_Register!$A$6:$A$40,0)),"Unknown ID"))</f>
        <v/>
      </c>
      <c r="D322" s="38"/>
      <c r="E322" s="24"/>
      <c r="F322" s="24"/>
      <c r="G322" s="39"/>
      <c r="J322" s="39"/>
      <c r="K322" s="38" t="str">
        <f aca="false">IF(OR(B322="",T322="On Hold"),"",MAX(0,MIN(1,(A322-INDEX(Project_Register!$G$6:$G$40,MATCH(B322,Project_Register!$A$6:$A$40,0)))/(INDEX(Project_Register!$H$6:$H$40,MATCH(B322,Project_Register!$A$6:$A$40,0))-INDEX(Project_Register!$G$6:$G$40,MATCH(B322,Project_Register!$A$6:$A$40,0))))))</f>
        <v/>
      </c>
      <c r="L322" s="40" t="str">
        <f aca="false">IF(OR(B322="",D322="",T322="On Hold"),"",ROUND((D322-K322)*100,0))</f>
        <v/>
      </c>
      <c r="M322" s="38" t="str">
        <f aca="false">IF(OR(B322="",F322=""),"",F322/INDEX(Project_Register!$I$6:$I$40,MATCH(B322,Project_Register!$A$6:$A$40,0)))</f>
        <v/>
      </c>
      <c r="N322" s="40" t="str">
        <f aca="false">IF(OR(B322="",G322="",T322="On Hold"),"",G322-INDEX(Project_Register!$H$6:$H$40,MATCH(B322,Project_Register!$A$6:$A$40,0)))</f>
        <v/>
      </c>
      <c r="O322" s="0" t="str">
        <f aca="false">IF(B322="","",IF(D322="","No update",IF(AND(T322&lt;&gt;"Active",D322&lt;1),T322,IF(D322&gt;=1,"Complete",IF(OR(L322&lt;=SV_Red,M322&gt;Cost_Red,N322&gt;Slip_Red),"Red",IF(OR(L322&lt;=SV_Amber,M322&gt;Cost_Amber,N322&gt;Slip_Amber),"Amber","Green"))))))</f>
        <v/>
      </c>
      <c r="P322" s="0" t="str">
        <f aca="false">IF(AND(H322="Green",OR(O322="Amber",O322="Red")),"Watermelon","")</f>
        <v/>
      </c>
      <c r="Q322" s="0" t="str">
        <f aca="false">IF(B322="","",IF(J322="","Missing",IF(J322&gt;A322+UpdateDue,"Late","On time")))</f>
        <v/>
      </c>
      <c r="R322" s="0" t="str">
        <f aca="false">IF(OR(B322="",D322=""),"",IF(COUNTIFS($B$6:$B$400,B322,$A$6:$A$400,EOMONTH(A322,-1))=0,"",IF(D322&lt;SUMIFS($D$6:$D$400,$B$6:$B$400,B322,$A$6:$A$400,EOMONTH(A322,-1)),"Dropped","")))</f>
        <v/>
      </c>
      <c r="S322" s="41" t="str">
        <f aca="false">IF(B322="","",B322&amp;"|"&amp;(YEAR(A322)*100+MONTH(A322)))</f>
        <v/>
      </c>
    </row>
    <row r="323" customFormat="false" ht="15" hidden="false" customHeight="false" outlineLevel="0" collapsed="false">
      <c r="A323" s="37"/>
      <c r="C323" s="0" t="str">
        <f aca="false">IF(B323="","",IFERROR(INDEX(Project_Register!$B$6:$B$40,MATCH(B323,Project_Register!$A$6:$A$40,0)),"Unknown ID"))</f>
        <v/>
      </c>
      <c r="D323" s="38"/>
      <c r="E323" s="24"/>
      <c r="F323" s="24"/>
      <c r="G323" s="39"/>
      <c r="J323" s="39"/>
      <c r="K323" s="38" t="str">
        <f aca="false">IF(OR(B323="",T323="On Hold"),"",MAX(0,MIN(1,(A323-INDEX(Project_Register!$G$6:$G$40,MATCH(B323,Project_Register!$A$6:$A$40,0)))/(INDEX(Project_Register!$H$6:$H$40,MATCH(B323,Project_Register!$A$6:$A$40,0))-INDEX(Project_Register!$G$6:$G$40,MATCH(B323,Project_Register!$A$6:$A$40,0))))))</f>
        <v/>
      </c>
      <c r="L323" s="40" t="str">
        <f aca="false">IF(OR(B323="",D323="",T323="On Hold"),"",ROUND((D323-K323)*100,0))</f>
        <v/>
      </c>
      <c r="M323" s="38" t="str">
        <f aca="false">IF(OR(B323="",F323=""),"",F323/INDEX(Project_Register!$I$6:$I$40,MATCH(B323,Project_Register!$A$6:$A$40,0)))</f>
        <v/>
      </c>
      <c r="N323" s="40" t="str">
        <f aca="false">IF(OR(B323="",G323="",T323="On Hold"),"",G323-INDEX(Project_Register!$H$6:$H$40,MATCH(B323,Project_Register!$A$6:$A$40,0)))</f>
        <v/>
      </c>
      <c r="O323" s="0" t="str">
        <f aca="false">IF(B323="","",IF(D323="","No update",IF(AND(T323&lt;&gt;"Active",D323&lt;1),T323,IF(D323&gt;=1,"Complete",IF(OR(L323&lt;=SV_Red,M323&gt;Cost_Red,N323&gt;Slip_Red),"Red",IF(OR(L323&lt;=SV_Amber,M323&gt;Cost_Amber,N323&gt;Slip_Amber),"Amber","Green"))))))</f>
        <v/>
      </c>
      <c r="P323" s="0" t="str">
        <f aca="false">IF(AND(H323="Green",OR(O323="Amber",O323="Red")),"Watermelon","")</f>
        <v/>
      </c>
      <c r="Q323" s="0" t="str">
        <f aca="false">IF(B323="","",IF(J323="","Missing",IF(J323&gt;A323+UpdateDue,"Late","On time")))</f>
        <v/>
      </c>
      <c r="R323" s="0" t="str">
        <f aca="false">IF(OR(B323="",D323=""),"",IF(COUNTIFS($B$6:$B$400,B323,$A$6:$A$400,EOMONTH(A323,-1))=0,"",IF(D323&lt;SUMIFS($D$6:$D$400,$B$6:$B$400,B323,$A$6:$A$400,EOMONTH(A323,-1)),"Dropped","")))</f>
        <v/>
      </c>
      <c r="S323" s="41" t="str">
        <f aca="false">IF(B323="","",B323&amp;"|"&amp;(YEAR(A323)*100+MONTH(A323)))</f>
        <v/>
      </c>
    </row>
    <row r="324" customFormat="false" ht="15" hidden="false" customHeight="false" outlineLevel="0" collapsed="false">
      <c r="A324" s="37"/>
      <c r="C324" s="0" t="str">
        <f aca="false">IF(B324="","",IFERROR(INDEX(Project_Register!$B$6:$B$40,MATCH(B324,Project_Register!$A$6:$A$40,0)),"Unknown ID"))</f>
        <v/>
      </c>
      <c r="D324" s="38"/>
      <c r="E324" s="24"/>
      <c r="F324" s="24"/>
      <c r="G324" s="39"/>
      <c r="J324" s="39"/>
      <c r="K324" s="38" t="str">
        <f aca="false">IF(OR(B324="",T324="On Hold"),"",MAX(0,MIN(1,(A324-INDEX(Project_Register!$G$6:$G$40,MATCH(B324,Project_Register!$A$6:$A$40,0)))/(INDEX(Project_Register!$H$6:$H$40,MATCH(B324,Project_Register!$A$6:$A$40,0))-INDEX(Project_Register!$G$6:$G$40,MATCH(B324,Project_Register!$A$6:$A$40,0))))))</f>
        <v/>
      </c>
      <c r="L324" s="40" t="str">
        <f aca="false">IF(OR(B324="",D324="",T324="On Hold"),"",ROUND((D324-K324)*100,0))</f>
        <v/>
      </c>
      <c r="M324" s="38" t="str">
        <f aca="false">IF(OR(B324="",F324=""),"",F324/INDEX(Project_Register!$I$6:$I$40,MATCH(B324,Project_Register!$A$6:$A$40,0)))</f>
        <v/>
      </c>
      <c r="N324" s="40" t="str">
        <f aca="false">IF(OR(B324="",G324="",T324="On Hold"),"",G324-INDEX(Project_Register!$H$6:$H$40,MATCH(B324,Project_Register!$A$6:$A$40,0)))</f>
        <v/>
      </c>
      <c r="O324" s="0" t="str">
        <f aca="false">IF(B324="","",IF(D324="","No update",IF(AND(T324&lt;&gt;"Active",D324&lt;1),T324,IF(D324&gt;=1,"Complete",IF(OR(L324&lt;=SV_Red,M324&gt;Cost_Red,N324&gt;Slip_Red),"Red",IF(OR(L324&lt;=SV_Amber,M324&gt;Cost_Amber,N324&gt;Slip_Amber),"Amber","Green"))))))</f>
        <v/>
      </c>
      <c r="P324" s="0" t="str">
        <f aca="false">IF(AND(H324="Green",OR(O324="Amber",O324="Red")),"Watermelon","")</f>
        <v/>
      </c>
      <c r="Q324" s="0" t="str">
        <f aca="false">IF(B324="","",IF(J324="","Missing",IF(J324&gt;A324+UpdateDue,"Late","On time")))</f>
        <v/>
      </c>
      <c r="R324" s="0" t="str">
        <f aca="false">IF(OR(B324="",D324=""),"",IF(COUNTIFS($B$6:$B$400,B324,$A$6:$A$400,EOMONTH(A324,-1))=0,"",IF(D324&lt;SUMIFS($D$6:$D$400,$B$6:$B$400,B324,$A$6:$A$400,EOMONTH(A324,-1)),"Dropped","")))</f>
        <v/>
      </c>
      <c r="S324" s="41" t="str">
        <f aca="false">IF(B324="","",B324&amp;"|"&amp;(YEAR(A324)*100+MONTH(A324)))</f>
        <v/>
      </c>
    </row>
    <row r="325" customFormat="false" ht="15" hidden="false" customHeight="false" outlineLevel="0" collapsed="false">
      <c r="A325" s="37"/>
      <c r="C325" s="0" t="str">
        <f aca="false">IF(B325="","",IFERROR(INDEX(Project_Register!$B$6:$B$40,MATCH(B325,Project_Register!$A$6:$A$40,0)),"Unknown ID"))</f>
        <v/>
      </c>
      <c r="D325" s="38"/>
      <c r="E325" s="24"/>
      <c r="F325" s="24"/>
      <c r="G325" s="39"/>
      <c r="J325" s="39"/>
      <c r="K325" s="38" t="str">
        <f aca="false">IF(OR(B325="",T325="On Hold"),"",MAX(0,MIN(1,(A325-INDEX(Project_Register!$G$6:$G$40,MATCH(B325,Project_Register!$A$6:$A$40,0)))/(INDEX(Project_Register!$H$6:$H$40,MATCH(B325,Project_Register!$A$6:$A$40,0))-INDEX(Project_Register!$G$6:$G$40,MATCH(B325,Project_Register!$A$6:$A$40,0))))))</f>
        <v/>
      </c>
      <c r="L325" s="40" t="str">
        <f aca="false">IF(OR(B325="",D325="",T325="On Hold"),"",ROUND((D325-K325)*100,0))</f>
        <v/>
      </c>
      <c r="M325" s="38" t="str">
        <f aca="false">IF(OR(B325="",F325=""),"",F325/INDEX(Project_Register!$I$6:$I$40,MATCH(B325,Project_Register!$A$6:$A$40,0)))</f>
        <v/>
      </c>
      <c r="N325" s="40" t="str">
        <f aca="false">IF(OR(B325="",G325="",T325="On Hold"),"",G325-INDEX(Project_Register!$H$6:$H$40,MATCH(B325,Project_Register!$A$6:$A$40,0)))</f>
        <v/>
      </c>
      <c r="O325" s="0" t="str">
        <f aca="false">IF(B325="","",IF(D325="","No update",IF(AND(T325&lt;&gt;"Active",D325&lt;1),T325,IF(D325&gt;=1,"Complete",IF(OR(L325&lt;=SV_Red,M325&gt;Cost_Red,N325&gt;Slip_Red),"Red",IF(OR(L325&lt;=SV_Amber,M325&gt;Cost_Amber,N325&gt;Slip_Amber),"Amber","Green"))))))</f>
        <v/>
      </c>
      <c r="P325" s="0" t="str">
        <f aca="false">IF(AND(H325="Green",OR(O325="Amber",O325="Red")),"Watermelon","")</f>
        <v/>
      </c>
      <c r="Q325" s="0" t="str">
        <f aca="false">IF(B325="","",IF(J325="","Missing",IF(J325&gt;A325+UpdateDue,"Late","On time")))</f>
        <v/>
      </c>
      <c r="R325" s="0" t="str">
        <f aca="false">IF(OR(B325="",D325=""),"",IF(COUNTIFS($B$6:$B$400,B325,$A$6:$A$400,EOMONTH(A325,-1))=0,"",IF(D325&lt;SUMIFS($D$6:$D$400,$B$6:$B$400,B325,$A$6:$A$400,EOMONTH(A325,-1)),"Dropped","")))</f>
        <v/>
      </c>
      <c r="S325" s="41" t="str">
        <f aca="false">IF(B325="","",B325&amp;"|"&amp;(YEAR(A325)*100+MONTH(A325)))</f>
        <v/>
      </c>
    </row>
    <row r="326" customFormat="false" ht="15" hidden="false" customHeight="false" outlineLevel="0" collapsed="false">
      <c r="A326" s="37"/>
      <c r="C326" s="0" t="str">
        <f aca="false">IF(B326="","",IFERROR(INDEX(Project_Register!$B$6:$B$40,MATCH(B326,Project_Register!$A$6:$A$40,0)),"Unknown ID"))</f>
        <v/>
      </c>
      <c r="D326" s="38"/>
      <c r="E326" s="24"/>
      <c r="F326" s="24"/>
      <c r="G326" s="39"/>
      <c r="J326" s="39"/>
      <c r="K326" s="38" t="str">
        <f aca="false">IF(OR(B326="",T326="On Hold"),"",MAX(0,MIN(1,(A326-INDEX(Project_Register!$G$6:$G$40,MATCH(B326,Project_Register!$A$6:$A$40,0)))/(INDEX(Project_Register!$H$6:$H$40,MATCH(B326,Project_Register!$A$6:$A$40,0))-INDEX(Project_Register!$G$6:$G$40,MATCH(B326,Project_Register!$A$6:$A$40,0))))))</f>
        <v/>
      </c>
      <c r="L326" s="40" t="str">
        <f aca="false">IF(OR(B326="",D326="",T326="On Hold"),"",ROUND((D326-K326)*100,0))</f>
        <v/>
      </c>
      <c r="M326" s="38" t="str">
        <f aca="false">IF(OR(B326="",F326=""),"",F326/INDEX(Project_Register!$I$6:$I$40,MATCH(B326,Project_Register!$A$6:$A$40,0)))</f>
        <v/>
      </c>
      <c r="N326" s="40" t="str">
        <f aca="false">IF(OR(B326="",G326="",T326="On Hold"),"",G326-INDEX(Project_Register!$H$6:$H$40,MATCH(B326,Project_Register!$A$6:$A$40,0)))</f>
        <v/>
      </c>
      <c r="O326" s="0" t="str">
        <f aca="false">IF(B326="","",IF(D326="","No update",IF(AND(T326&lt;&gt;"Active",D326&lt;1),T326,IF(D326&gt;=1,"Complete",IF(OR(L326&lt;=SV_Red,M326&gt;Cost_Red,N326&gt;Slip_Red),"Red",IF(OR(L326&lt;=SV_Amber,M326&gt;Cost_Amber,N326&gt;Slip_Amber),"Amber","Green"))))))</f>
        <v/>
      </c>
      <c r="P326" s="0" t="str">
        <f aca="false">IF(AND(H326="Green",OR(O326="Amber",O326="Red")),"Watermelon","")</f>
        <v/>
      </c>
      <c r="Q326" s="0" t="str">
        <f aca="false">IF(B326="","",IF(J326="","Missing",IF(J326&gt;A326+UpdateDue,"Late","On time")))</f>
        <v/>
      </c>
      <c r="R326" s="0" t="str">
        <f aca="false">IF(OR(B326="",D326=""),"",IF(COUNTIFS($B$6:$B$400,B326,$A$6:$A$400,EOMONTH(A326,-1))=0,"",IF(D326&lt;SUMIFS($D$6:$D$400,$B$6:$B$400,B326,$A$6:$A$400,EOMONTH(A326,-1)),"Dropped","")))</f>
        <v/>
      </c>
      <c r="S326" s="41" t="str">
        <f aca="false">IF(B326="","",B326&amp;"|"&amp;(YEAR(A326)*100+MONTH(A326)))</f>
        <v/>
      </c>
    </row>
    <row r="327" customFormat="false" ht="15" hidden="false" customHeight="false" outlineLevel="0" collapsed="false">
      <c r="A327" s="37"/>
      <c r="C327" s="0" t="str">
        <f aca="false">IF(B327="","",IFERROR(INDEX(Project_Register!$B$6:$B$40,MATCH(B327,Project_Register!$A$6:$A$40,0)),"Unknown ID"))</f>
        <v/>
      </c>
      <c r="D327" s="38"/>
      <c r="E327" s="24"/>
      <c r="F327" s="24"/>
      <c r="G327" s="39"/>
      <c r="J327" s="39"/>
      <c r="K327" s="38" t="str">
        <f aca="false">IF(OR(B327="",T327="On Hold"),"",MAX(0,MIN(1,(A327-INDEX(Project_Register!$G$6:$G$40,MATCH(B327,Project_Register!$A$6:$A$40,0)))/(INDEX(Project_Register!$H$6:$H$40,MATCH(B327,Project_Register!$A$6:$A$40,0))-INDEX(Project_Register!$G$6:$G$40,MATCH(B327,Project_Register!$A$6:$A$40,0))))))</f>
        <v/>
      </c>
      <c r="L327" s="40" t="str">
        <f aca="false">IF(OR(B327="",D327="",T327="On Hold"),"",ROUND((D327-K327)*100,0))</f>
        <v/>
      </c>
      <c r="M327" s="38" t="str">
        <f aca="false">IF(OR(B327="",F327=""),"",F327/INDEX(Project_Register!$I$6:$I$40,MATCH(B327,Project_Register!$A$6:$A$40,0)))</f>
        <v/>
      </c>
      <c r="N327" s="40" t="str">
        <f aca="false">IF(OR(B327="",G327="",T327="On Hold"),"",G327-INDEX(Project_Register!$H$6:$H$40,MATCH(B327,Project_Register!$A$6:$A$40,0)))</f>
        <v/>
      </c>
      <c r="O327" s="0" t="str">
        <f aca="false">IF(B327="","",IF(D327="","No update",IF(AND(T327&lt;&gt;"Active",D327&lt;1),T327,IF(D327&gt;=1,"Complete",IF(OR(L327&lt;=SV_Red,M327&gt;Cost_Red,N327&gt;Slip_Red),"Red",IF(OR(L327&lt;=SV_Amber,M327&gt;Cost_Amber,N327&gt;Slip_Amber),"Amber","Green"))))))</f>
        <v/>
      </c>
      <c r="P327" s="0" t="str">
        <f aca="false">IF(AND(H327="Green",OR(O327="Amber",O327="Red")),"Watermelon","")</f>
        <v/>
      </c>
      <c r="Q327" s="0" t="str">
        <f aca="false">IF(B327="","",IF(J327="","Missing",IF(J327&gt;A327+UpdateDue,"Late","On time")))</f>
        <v/>
      </c>
      <c r="R327" s="0" t="str">
        <f aca="false">IF(OR(B327="",D327=""),"",IF(COUNTIFS($B$6:$B$400,B327,$A$6:$A$400,EOMONTH(A327,-1))=0,"",IF(D327&lt;SUMIFS($D$6:$D$400,$B$6:$B$400,B327,$A$6:$A$400,EOMONTH(A327,-1)),"Dropped","")))</f>
        <v/>
      </c>
      <c r="S327" s="41" t="str">
        <f aca="false">IF(B327="","",B327&amp;"|"&amp;(YEAR(A327)*100+MONTH(A327)))</f>
        <v/>
      </c>
    </row>
    <row r="328" customFormat="false" ht="15" hidden="false" customHeight="false" outlineLevel="0" collapsed="false">
      <c r="A328" s="37"/>
      <c r="C328" s="0" t="str">
        <f aca="false">IF(B328="","",IFERROR(INDEX(Project_Register!$B$6:$B$40,MATCH(B328,Project_Register!$A$6:$A$40,0)),"Unknown ID"))</f>
        <v/>
      </c>
      <c r="D328" s="38"/>
      <c r="E328" s="24"/>
      <c r="F328" s="24"/>
      <c r="G328" s="39"/>
      <c r="J328" s="39"/>
      <c r="K328" s="38" t="str">
        <f aca="false">IF(OR(B328="",T328="On Hold"),"",MAX(0,MIN(1,(A328-INDEX(Project_Register!$G$6:$G$40,MATCH(B328,Project_Register!$A$6:$A$40,0)))/(INDEX(Project_Register!$H$6:$H$40,MATCH(B328,Project_Register!$A$6:$A$40,0))-INDEX(Project_Register!$G$6:$G$40,MATCH(B328,Project_Register!$A$6:$A$40,0))))))</f>
        <v/>
      </c>
      <c r="L328" s="40" t="str">
        <f aca="false">IF(OR(B328="",D328="",T328="On Hold"),"",ROUND((D328-K328)*100,0))</f>
        <v/>
      </c>
      <c r="M328" s="38" t="str">
        <f aca="false">IF(OR(B328="",F328=""),"",F328/INDEX(Project_Register!$I$6:$I$40,MATCH(B328,Project_Register!$A$6:$A$40,0)))</f>
        <v/>
      </c>
      <c r="N328" s="40" t="str">
        <f aca="false">IF(OR(B328="",G328="",T328="On Hold"),"",G328-INDEX(Project_Register!$H$6:$H$40,MATCH(B328,Project_Register!$A$6:$A$40,0)))</f>
        <v/>
      </c>
      <c r="O328" s="0" t="str">
        <f aca="false">IF(B328="","",IF(D328="","No update",IF(AND(T328&lt;&gt;"Active",D328&lt;1),T328,IF(D328&gt;=1,"Complete",IF(OR(L328&lt;=SV_Red,M328&gt;Cost_Red,N328&gt;Slip_Red),"Red",IF(OR(L328&lt;=SV_Amber,M328&gt;Cost_Amber,N328&gt;Slip_Amber),"Amber","Green"))))))</f>
        <v/>
      </c>
      <c r="P328" s="0" t="str">
        <f aca="false">IF(AND(H328="Green",OR(O328="Amber",O328="Red")),"Watermelon","")</f>
        <v/>
      </c>
      <c r="Q328" s="0" t="str">
        <f aca="false">IF(B328="","",IF(J328="","Missing",IF(J328&gt;A328+UpdateDue,"Late","On time")))</f>
        <v/>
      </c>
      <c r="R328" s="0" t="str">
        <f aca="false">IF(OR(B328="",D328=""),"",IF(COUNTIFS($B$6:$B$400,B328,$A$6:$A$400,EOMONTH(A328,-1))=0,"",IF(D328&lt;SUMIFS($D$6:$D$400,$B$6:$B$400,B328,$A$6:$A$400,EOMONTH(A328,-1)),"Dropped","")))</f>
        <v/>
      </c>
      <c r="S328" s="41" t="str">
        <f aca="false">IF(B328="","",B328&amp;"|"&amp;(YEAR(A328)*100+MONTH(A328)))</f>
        <v/>
      </c>
    </row>
    <row r="329" customFormat="false" ht="15" hidden="false" customHeight="false" outlineLevel="0" collapsed="false">
      <c r="A329" s="37"/>
      <c r="C329" s="0" t="str">
        <f aca="false">IF(B329="","",IFERROR(INDEX(Project_Register!$B$6:$B$40,MATCH(B329,Project_Register!$A$6:$A$40,0)),"Unknown ID"))</f>
        <v/>
      </c>
      <c r="D329" s="38"/>
      <c r="E329" s="24"/>
      <c r="F329" s="24"/>
      <c r="G329" s="39"/>
      <c r="J329" s="39"/>
      <c r="K329" s="38" t="str">
        <f aca="false">IF(OR(B329="",T329="On Hold"),"",MAX(0,MIN(1,(A329-INDEX(Project_Register!$G$6:$G$40,MATCH(B329,Project_Register!$A$6:$A$40,0)))/(INDEX(Project_Register!$H$6:$H$40,MATCH(B329,Project_Register!$A$6:$A$40,0))-INDEX(Project_Register!$G$6:$G$40,MATCH(B329,Project_Register!$A$6:$A$40,0))))))</f>
        <v/>
      </c>
      <c r="L329" s="40" t="str">
        <f aca="false">IF(OR(B329="",D329="",T329="On Hold"),"",ROUND((D329-K329)*100,0))</f>
        <v/>
      </c>
      <c r="M329" s="38" t="str">
        <f aca="false">IF(OR(B329="",F329=""),"",F329/INDEX(Project_Register!$I$6:$I$40,MATCH(B329,Project_Register!$A$6:$A$40,0)))</f>
        <v/>
      </c>
      <c r="N329" s="40" t="str">
        <f aca="false">IF(OR(B329="",G329="",T329="On Hold"),"",G329-INDEX(Project_Register!$H$6:$H$40,MATCH(B329,Project_Register!$A$6:$A$40,0)))</f>
        <v/>
      </c>
      <c r="O329" s="0" t="str">
        <f aca="false">IF(B329="","",IF(D329="","No update",IF(AND(T329&lt;&gt;"Active",D329&lt;1),T329,IF(D329&gt;=1,"Complete",IF(OR(L329&lt;=SV_Red,M329&gt;Cost_Red,N329&gt;Slip_Red),"Red",IF(OR(L329&lt;=SV_Amber,M329&gt;Cost_Amber,N329&gt;Slip_Amber),"Amber","Green"))))))</f>
        <v/>
      </c>
      <c r="P329" s="0" t="str">
        <f aca="false">IF(AND(H329="Green",OR(O329="Amber",O329="Red")),"Watermelon","")</f>
        <v/>
      </c>
      <c r="Q329" s="0" t="str">
        <f aca="false">IF(B329="","",IF(J329="","Missing",IF(J329&gt;A329+UpdateDue,"Late","On time")))</f>
        <v/>
      </c>
      <c r="R329" s="0" t="str">
        <f aca="false">IF(OR(B329="",D329=""),"",IF(COUNTIFS($B$6:$B$400,B329,$A$6:$A$400,EOMONTH(A329,-1))=0,"",IF(D329&lt;SUMIFS($D$6:$D$400,$B$6:$B$400,B329,$A$6:$A$400,EOMONTH(A329,-1)),"Dropped","")))</f>
        <v/>
      </c>
      <c r="S329" s="41" t="str">
        <f aca="false">IF(B329="","",B329&amp;"|"&amp;(YEAR(A329)*100+MONTH(A329)))</f>
        <v/>
      </c>
    </row>
    <row r="330" customFormat="false" ht="15" hidden="false" customHeight="false" outlineLevel="0" collapsed="false">
      <c r="A330" s="37"/>
      <c r="C330" s="0" t="str">
        <f aca="false">IF(B330="","",IFERROR(INDEX(Project_Register!$B$6:$B$40,MATCH(B330,Project_Register!$A$6:$A$40,0)),"Unknown ID"))</f>
        <v/>
      </c>
      <c r="D330" s="38"/>
      <c r="E330" s="24"/>
      <c r="F330" s="24"/>
      <c r="G330" s="39"/>
      <c r="J330" s="39"/>
      <c r="K330" s="38" t="str">
        <f aca="false">IF(OR(B330="",T330="On Hold"),"",MAX(0,MIN(1,(A330-INDEX(Project_Register!$G$6:$G$40,MATCH(B330,Project_Register!$A$6:$A$40,0)))/(INDEX(Project_Register!$H$6:$H$40,MATCH(B330,Project_Register!$A$6:$A$40,0))-INDEX(Project_Register!$G$6:$G$40,MATCH(B330,Project_Register!$A$6:$A$40,0))))))</f>
        <v/>
      </c>
      <c r="L330" s="40" t="str">
        <f aca="false">IF(OR(B330="",D330="",T330="On Hold"),"",ROUND((D330-K330)*100,0))</f>
        <v/>
      </c>
      <c r="M330" s="38" t="str">
        <f aca="false">IF(OR(B330="",F330=""),"",F330/INDEX(Project_Register!$I$6:$I$40,MATCH(B330,Project_Register!$A$6:$A$40,0)))</f>
        <v/>
      </c>
      <c r="N330" s="40" t="str">
        <f aca="false">IF(OR(B330="",G330="",T330="On Hold"),"",G330-INDEX(Project_Register!$H$6:$H$40,MATCH(B330,Project_Register!$A$6:$A$40,0)))</f>
        <v/>
      </c>
      <c r="O330" s="0" t="str">
        <f aca="false">IF(B330="","",IF(D330="","No update",IF(AND(T330&lt;&gt;"Active",D330&lt;1),T330,IF(D330&gt;=1,"Complete",IF(OR(L330&lt;=SV_Red,M330&gt;Cost_Red,N330&gt;Slip_Red),"Red",IF(OR(L330&lt;=SV_Amber,M330&gt;Cost_Amber,N330&gt;Slip_Amber),"Amber","Green"))))))</f>
        <v/>
      </c>
      <c r="P330" s="0" t="str">
        <f aca="false">IF(AND(H330="Green",OR(O330="Amber",O330="Red")),"Watermelon","")</f>
        <v/>
      </c>
      <c r="Q330" s="0" t="str">
        <f aca="false">IF(B330="","",IF(J330="","Missing",IF(J330&gt;A330+UpdateDue,"Late","On time")))</f>
        <v/>
      </c>
      <c r="R330" s="0" t="str">
        <f aca="false">IF(OR(B330="",D330=""),"",IF(COUNTIFS($B$6:$B$400,B330,$A$6:$A$400,EOMONTH(A330,-1))=0,"",IF(D330&lt;SUMIFS($D$6:$D$400,$B$6:$B$400,B330,$A$6:$A$400,EOMONTH(A330,-1)),"Dropped","")))</f>
        <v/>
      </c>
      <c r="S330" s="41" t="str">
        <f aca="false">IF(B330="","",B330&amp;"|"&amp;(YEAR(A330)*100+MONTH(A330)))</f>
        <v/>
      </c>
    </row>
    <row r="331" customFormat="false" ht="15" hidden="false" customHeight="false" outlineLevel="0" collapsed="false">
      <c r="A331" s="37"/>
      <c r="C331" s="0" t="str">
        <f aca="false">IF(B331="","",IFERROR(INDEX(Project_Register!$B$6:$B$40,MATCH(B331,Project_Register!$A$6:$A$40,0)),"Unknown ID"))</f>
        <v/>
      </c>
      <c r="D331" s="38"/>
      <c r="E331" s="24"/>
      <c r="F331" s="24"/>
      <c r="G331" s="39"/>
      <c r="J331" s="39"/>
      <c r="K331" s="38" t="str">
        <f aca="false">IF(OR(B331="",T331="On Hold"),"",MAX(0,MIN(1,(A331-INDEX(Project_Register!$G$6:$G$40,MATCH(B331,Project_Register!$A$6:$A$40,0)))/(INDEX(Project_Register!$H$6:$H$40,MATCH(B331,Project_Register!$A$6:$A$40,0))-INDEX(Project_Register!$G$6:$G$40,MATCH(B331,Project_Register!$A$6:$A$40,0))))))</f>
        <v/>
      </c>
      <c r="L331" s="40" t="str">
        <f aca="false">IF(OR(B331="",D331="",T331="On Hold"),"",ROUND((D331-K331)*100,0))</f>
        <v/>
      </c>
      <c r="M331" s="38" t="str">
        <f aca="false">IF(OR(B331="",F331=""),"",F331/INDEX(Project_Register!$I$6:$I$40,MATCH(B331,Project_Register!$A$6:$A$40,0)))</f>
        <v/>
      </c>
      <c r="N331" s="40" t="str">
        <f aca="false">IF(OR(B331="",G331="",T331="On Hold"),"",G331-INDEX(Project_Register!$H$6:$H$40,MATCH(B331,Project_Register!$A$6:$A$40,0)))</f>
        <v/>
      </c>
      <c r="O331" s="0" t="str">
        <f aca="false">IF(B331="","",IF(D331="","No update",IF(AND(T331&lt;&gt;"Active",D331&lt;1),T331,IF(D331&gt;=1,"Complete",IF(OR(L331&lt;=SV_Red,M331&gt;Cost_Red,N331&gt;Slip_Red),"Red",IF(OR(L331&lt;=SV_Amber,M331&gt;Cost_Amber,N331&gt;Slip_Amber),"Amber","Green"))))))</f>
        <v/>
      </c>
      <c r="P331" s="0" t="str">
        <f aca="false">IF(AND(H331="Green",OR(O331="Amber",O331="Red")),"Watermelon","")</f>
        <v/>
      </c>
      <c r="Q331" s="0" t="str">
        <f aca="false">IF(B331="","",IF(J331="","Missing",IF(J331&gt;A331+UpdateDue,"Late","On time")))</f>
        <v/>
      </c>
      <c r="R331" s="0" t="str">
        <f aca="false">IF(OR(B331="",D331=""),"",IF(COUNTIFS($B$6:$B$400,B331,$A$6:$A$400,EOMONTH(A331,-1))=0,"",IF(D331&lt;SUMIFS($D$6:$D$400,$B$6:$B$400,B331,$A$6:$A$400,EOMONTH(A331,-1)),"Dropped","")))</f>
        <v/>
      </c>
      <c r="S331" s="41" t="str">
        <f aca="false">IF(B331="","",B331&amp;"|"&amp;(YEAR(A331)*100+MONTH(A331)))</f>
        <v/>
      </c>
    </row>
    <row r="332" customFormat="false" ht="15" hidden="false" customHeight="false" outlineLevel="0" collapsed="false">
      <c r="A332" s="37"/>
      <c r="C332" s="0" t="str">
        <f aca="false">IF(B332="","",IFERROR(INDEX(Project_Register!$B$6:$B$40,MATCH(B332,Project_Register!$A$6:$A$40,0)),"Unknown ID"))</f>
        <v/>
      </c>
      <c r="D332" s="38"/>
      <c r="E332" s="24"/>
      <c r="F332" s="24"/>
      <c r="G332" s="39"/>
      <c r="J332" s="39"/>
      <c r="K332" s="38" t="str">
        <f aca="false">IF(OR(B332="",T332="On Hold"),"",MAX(0,MIN(1,(A332-INDEX(Project_Register!$G$6:$G$40,MATCH(B332,Project_Register!$A$6:$A$40,0)))/(INDEX(Project_Register!$H$6:$H$40,MATCH(B332,Project_Register!$A$6:$A$40,0))-INDEX(Project_Register!$G$6:$G$40,MATCH(B332,Project_Register!$A$6:$A$40,0))))))</f>
        <v/>
      </c>
      <c r="L332" s="40" t="str">
        <f aca="false">IF(OR(B332="",D332="",T332="On Hold"),"",ROUND((D332-K332)*100,0))</f>
        <v/>
      </c>
      <c r="M332" s="38" t="str">
        <f aca="false">IF(OR(B332="",F332=""),"",F332/INDEX(Project_Register!$I$6:$I$40,MATCH(B332,Project_Register!$A$6:$A$40,0)))</f>
        <v/>
      </c>
      <c r="N332" s="40" t="str">
        <f aca="false">IF(OR(B332="",G332="",T332="On Hold"),"",G332-INDEX(Project_Register!$H$6:$H$40,MATCH(B332,Project_Register!$A$6:$A$40,0)))</f>
        <v/>
      </c>
      <c r="O332" s="0" t="str">
        <f aca="false">IF(B332="","",IF(D332="","No update",IF(AND(T332&lt;&gt;"Active",D332&lt;1),T332,IF(D332&gt;=1,"Complete",IF(OR(L332&lt;=SV_Red,M332&gt;Cost_Red,N332&gt;Slip_Red),"Red",IF(OR(L332&lt;=SV_Amber,M332&gt;Cost_Amber,N332&gt;Slip_Amber),"Amber","Green"))))))</f>
        <v/>
      </c>
      <c r="P332" s="0" t="str">
        <f aca="false">IF(AND(H332="Green",OR(O332="Amber",O332="Red")),"Watermelon","")</f>
        <v/>
      </c>
      <c r="Q332" s="0" t="str">
        <f aca="false">IF(B332="","",IF(J332="","Missing",IF(J332&gt;A332+UpdateDue,"Late","On time")))</f>
        <v/>
      </c>
      <c r="R332" s="0" t="str">
        <f aca="false">IF(OR(B332="",D332=""),"",IF(COUNTIFS($B$6:$B$400,B332,$A$6:$A$400,EOMONTH(A332,-1))=0,"",IF(D332&lt;SUMIFS($D$6:$D$400,$B$6:$B$400,B332,$A$6:$A$400,EOMONTH(A332,-1)),"Dropped","")))</f>
        <v/>
      </c>
      <c r="S332" s="41" t="str">
        <f aca="false">IF(B332="","",B332&amp;"|"&amp;(YEAR(A332)*100+MONTH(A332)))</f>
        <v/>
      </c>
    </row>
    <row r="333" customFormat="false" ht="15" hidden="false" customHeight="false" outlineLevel="0" collapsed="false">
      <c r="A333" s="37"/>
      <c r="C333" s="0" t="str">
        <f aca="false">IF(B333="","",IFERROR(INDEX(Project_Register!$B$6:$B$40,MATCH(B333,Project_Register!$A$6:$A$40,0)),"Unknown ID"))</f>
        <v/>
      </c>
      <c r="D333" s="38"/>
      <c r="E333" s="24"/>
      <c r="F333" s="24"/>
      <c r="G333" s="39"/>
      <c r="J333" s="39"/>
      <c r="K333" s="38" t="str">
        <f aca="false">IF(OR(B333="",T333="On Hold"),"",MAX(0,MIN(1,(A333-INDEX(Project_Register!$G$6:$G$40,MATCH(B333,Project_Register!$A$6:$A$40,0)))/(INDEX(Project_Register!$H$6:$H$40,MATCH(B333,Project_Register!$A$6:$A$40,0))-INDEX(Project_Register!$G$6:$G$40,MATCH(B333,Project_Register!$A$6:$A$40,0))))))</f>
        <v/>
      </c>
      <c r="L333" s="40" t="str">
        <f aca="false">IF(OR(B333="",D333="",T333="On Hold"),"",ROUND((D333-K333)*100,0))</f>
        <v/>
      </c>
      <c r="M333" s="38" t="str">
        <f aca="false">IF(OR(B333="",F333=""),"",F333/INDEX(Project_Register!$I$6:$I$40,MATCH(B333,Project_Register!$A$6:$A$40,0)))</f>
        <v/>
      </c>
      <c r="N333" s="40" t="str">
        <f aca="false">IF(OR(B333="",G333="",T333="On Hold"),"",G333-INDEX(Project_Register!$H$6:$H$40,MATCH(B333,Project_Register!$A$6:$A$40,0)))</f>
        <v/>
      </c>
      <c r="O333" s="0" t="str">
        <f aca="false">IF(B333="","",IF(D333="","No update",IF(AND(T333&lt;&gt;"Active",D333&lt;1),T333,IF(D333&gt;=1,"Complete",IF(OR(L333&lt;=SV_Red,M333&gt;Cost_Red,N333&gt;Slip_Red),"Red",IF(OR(L333&lt;=SV_Amber,M333&gt;Cost_Amber,N333&gt;Slip_Amber),"Amber","Green"))))))</f>
        <v/>
      </c>
      <c r="P333" s="0" t="str">
        <f aca="false">IF(AND(H333="Green",OR(O333="Amber",O333="Red")),"Watermelon","")</f>
        <v/>
      </c>
      <c r="Q333" s="0" t="str">
        <f aca="false">IF(B333="","",IF(J333="","Missing",IF(J333&gt;A333+UpdateDue,"Late","On time")))</f>
        <v/>
      </c>
      <c r="R333" s="0" t="str">
        <f aca="false">IF(OR(B333="",D333=""),"",IF(COUNTIFS($B$6:$B$400,B333,$A$6:$A$400,EOMONTH(A333,-1))=0,"",IF(D333&lt;SUMIFS($D$6:$D$400,$B$6:$B$400,B333,$A$6:$A$400,EOMONTH(A333,-1)),"Dropped","")))</f>
        <v/>
      </c>
      <c r="S333" s="41" t="str">
        <f aca="false">IF(B333="","",B333&amp;"|"&amp;(YEAR(A333)*100+MONTH(A333)))</f>
        <v/>
      </c>
    </row>
    <row r="334" customFormat="false" ht="15" hidden="false" customHeight="false" outlineLevel="0" collapsed="false">
      <c r="A334" s="37"/>
      <c r="C334" s="0" t="str">
        <f aca="false">IF(B334="","",IFERROR(INDEX(Project_Register!$B$6:$B$40,MATCH(B334,Project_Register!$A$6:$A$40,0)),"Unknown ID"))</f>
        <v/>
      </c>
      <c r="D334" s="38"/>
      <c r="E334" s="24"/>
      <c r="F334" s="24"/>
      <c r="G334" s="39"/>
      <c r="J334" s="39"/>
      <c r="K334" s="38" t="str">
        <f aca="false">IF(OR(B334="",T334="On Hold"),"",MAX(0,MIN(1,(A334-INDEX(Project_Register!$G$6:$G$40,MATCH(B334,Project_Register!$A$6:$A$40,0)))/(INDEX(Project_Register!$H$6:$H$40,MATCH(B334,Project_Register!$A$6:$A$40,0))-INDEX(Project_Register!$G$6:$G$40,MATCH(B334,Project_Register!$A$6:$A$40,0))))))</f>
        <v/>
      </c>
      <c r="L334" s="40" t="str">
        <f aca="false">IF(OR(B334="",D334="",T334="On Hold"),"",ROUND((D334-K334)*100,0))</f>
        <v/>
      </c>
      <c r="M334" s="38" t="str">
        <f aca="false">IF(OR(B334="",F334=""),"",F334/INDEX(Project_Register!$I$6:$I$40,MATCH(B334,Project_Register!$A$6:$A$40,0)))</f>
        <v/>
      </c>
      <c r="N334" s="40" t="str">
        <f aca="false">IF(OR(B334="",G334="",T334="On Hold"),"",G334-INDEX(Project_Register!$H$6:$H$40,MATCH(B334,Project_Register!$A$6:$A$40,0)))</f>
        <v/>
      </c>
      <c r="O334" s="0" t="str">
        <f aca="false">IF(B334="","",IF(D334="","No update",IF(AND(T334&lt;&gt;"Active",D334&lt;1),T334,IF(D334&gt;=1,"Complete",IF(OR(L334&lt;=SV_Red,M334&gt;Cost_Red,N334&gt;Slip_Red),"Red",IF(OR(L334&lt;=SV_Amber,M334&gt;Cost_Amber,N334&gt;Slip_Amber),"Amber","Green"))))))</f>
        <v/>
      </c>
      <c r="P334" s="0" t="str">
        <f aca="false">IF(AND(H334="Green",OR(O334="Amber",O334="Red")),"Watermelon","")</f>
        <v/>
      </c>
      <c r="Q334" s="0" t="str">
        <f aca="false">IF(B334="","",IF(J334="","Missing",IF(J334&gt;A334+UpdateDue,"Late","On time")))</f>
        <v/>
      </c>
      <c r="R334" s="0" t="str">
        <f aca="false">IF(OR(B334="",D334=""),"",IF(COUNTIFS($B$6:$B$400,B334,$A$6:$A$400,EOMONTH(A334,-1))=0,"",IF(D334&lt;SUMIFS($D$6:$D$400,$B$6:$B$400,B334,$A$6:$A$400,EOMONTH(A334,-1)),"Dropped","")))</f>
        <v/>
      </c>
      <c r="S334" s="41" t="str">
        <f aca="false">IF(B334="","",B334&amp;"|"&amp;(YEAR(A334)*100+MONTH(A334)))</f>
        <v/>
      </c>
    </row>
    <row r="335" customFormat="false" ht="15" hidden="false" customHeight="false" outlineLevel="0" collapsed="false">
      <c r="A335" s="37"/>
      <c r="C335" s="0" t="str">
        <f aca="false">IF(B335="","",IFERROR(INDEX(Project_Register!$B$6:$B$40,MATCH(B335,Project_Register!$A$6:$A$40,0)),"Unknown ID"))</f>
        <v/>
      </c>
      <c r="D335" s="38"/>
      <c r="E335" s="24"/>
      <c r="F335" s="24"/>
      <c r="G335" s="39"/>
      <c r="J335" s="39"/>
      <c r="K335" s="38" t="str">
        <f aca="false">IF(OR(B335="",T335="On Hold"),"",MAX(0,MIN(1,(A335-INDEX(Project_Register!$G$6:$G$40,MATCH(B335,Project_Register!$A$6:$A$40,0)))/(INDEX(Project_Register!$H$6:$H$40,MATCH(B335,Project_Register!$A$6:$A$40,0))-INDEX(Project_Register!$G$6:$G$40,MATCH(B335,Project_Register!$A$6:$A$40,0))))))</f>
        <v/>
      </c>
      <c r="L335" s="40" t="str">
        <f aca="false">IF(OR(B335="",D335="",T335="On Hold"),"",ROUND((D335-K335)*100,0))</f>
        <v/>
      </c>
      <c r="M335" s="38" t="str">
        <f aca="false">IF(OR(B335="",F335=""),"",F335/INDEX(Project_Register!$I$6:$I$40,MATCH(B335,Project_Register!$A$6:$A$40,0)))</f>
        <v/>
      </c>
      <c r="N335" s="40" t="str">
        <f aca="false">IF(OR(B335="",G335="",T335="On Hold"),"",G335-INDEX(Project_Register!$H$6:$H$40,MATCH(B335,Project_Register!$A$6:$A$40,0)))</f>
        <v/>
      </c>
      <c r="O335" s="0" t="str">
        <f aca="false">IF(B335="","",IF(D335="","No update",IF(AND(T335&lt;&gt;"Active",D335&lt;1),T335,IF(D335&gt;=1,"Complete",IF(OR(L335&lt;=SV_Red,M335&gt;Cost_Red,N335&gt;Slip_Red),"Red",IF(OR(L335&lt;=SV_Amber,M335&gt;Cost_Amber,N335&gt;Slip_Amber),"Amber","Green"))))))</f>
        <v/>
      </c>
      <c r="P335" s="0" t="str">
        <f aca="false">IF(AND(H335="Green",OR(O335="Amber",O335="Red")),"Watermelon","")</f>
        <v/>
      </c>
      <c r="Q335" s="0" t="str">
        <f aca="false">IF(B335="","",IF(J335="","Missing",IF(J335&gt;A335+UpdateDue,"Late","On time")))</f>
        <v/>
      </c>
      <c r="R335" s="0" t="str">
        <f aca="false">IF(OR(B335="",D335=""),"",IF(COUNTIFS($B$6:$B$400,B335,$A$6:$A$400,EOMONTH(A335,-1))=0,"",IF(D335&lt;SUMIFS($D$6:$D$400,$B$6:$B$400,B335,$A$6:$A$400,EOMONTH(A335,-1)),"Dropped","")))</f>
        <v/>
      </c>
      <c r="S335" s="41" t="str">
        <f aca="false">IF(B335="","",B335&amp;"|"&amp;(YEAR(A335)*100+MONTH(A335)))</f>
        <v/>
      </c>
    </row>
    <row r="336" customFormat="false" ht="15" hidden="false" customHeight="false" outlineLevel="0" collapsed="false">
      <c r="A336" s="37"/>
      <c r="C336" s="0" t="str">
        <f aca="false">IF(B336="","",IFERROR(INDEX(Project_Register!$B$6:$B$40,MATCH(B336,Project_Register!$A$6:$A$40,0)),"Unknown ID"))</f>
        <v/>
      </c>
      <c r="D336" s="38"/>
      <c r="E336" s="24"/>
      <c r="F336" s="24"/>
      <c r="G336" s="39"/>
      <c r="J336" s="39"/>
      <c r="K336" s="38" t="str">
        <f aca="false">IF(OR(B336="",T336="On Hold"),"",MAX(0,MIN(1,(A336-INDEX(Project_Register!$G$6:$G$40,MATCH(B336,Project_Register!$A$6:$A$40,0)))/(INDEX(Project_Register!$H$6:$H$40,MATCH(B336,Project_Register!$A$6:$A$40,0))-INDEX(Project_Register!$G$6:$G$40,MATCH(B336,Project_Register!$A$6:$A$40,0))))))</f>
        <v/>
      </c>
      <c r="L336" s="40" t="str">
        <f aca="false">IF(OR(B336="",D336="",T336="On Hold"),"",ROUND((D336-K336)*100,0))</f>
        <v/>
      </c>
      <c r="M336" s="38" t="str">
        <f aca="false">IF(OR(B336="",F336=""),"",F336/INDEX(Project_Register!$I$6:$I$40,MATCH(B336,Project_Register!$A$6:$A$40,0)))</f>
        <v/>
      </c>
      <c r="N336" s="40" t="str">
        <f aca="false">IF(OR(B336="",G336="",T336="On Hold"),"",G336-INDEX(Project_Register!$H$6:$H$40,MATCH(B336,Project_Register!$A$6:$A$40,0)))</f>
        <v/>
      </c>
      <c r="O336" s="0" t="str">
        <f aca="false">IF(B336="","",IF(D336="","No update",IF(AND(T336&lt;&gt;"Active",D336&lt;1),T336,IF(D336&gt;=1,"Complete",IF(OR(L336&lt;=SV_Red,M336&gt;Cost_Red,N336&gt;Slip_Red),"Red",IF(OR(L336&lt;=SV_Amber,M336&gt;Cost_Amber,N336&gt;Slip_Amber),"Amber","Green"))))))</f>
        <v/>
      </c>
      <c r="P336" s="0" t="str">
        <f aca="false">IF(AND(H336="Green",OR(O336="Amber",O336="Red")),"Watermelon","")</f>
        <v/>
      </c>
      <c r="Q336" s="0" t="str">
        <f aca="false">IF(B336="","",IF(J336="","Missing",IF(J336&gt;A336+UpdateDue,"Late","On time")))</f>
        <v/>
      </c>
      <c r="R336" s="0" t="str">
        <f aca="false">IF(OR(B336="",D336=""),"",IF(COUNTIFS($B$6:$B$400,B336,$A$6:$A$400,EOMONTH(A336,-1))=0,"",IF(D336&lt;SUMIFS($D$6:$D$400,$B$6:$B$400,B336,$A$6:$A$400,EOMONTH(A336,-1)),"Dropped","")))</f>
        <v/>
      </c>
      <c r="S336" s="41" t="str">
        <f aca="false">IF(B336="","",B336&amp;"|"&amp;(YEAR(A336)*100+MONTH(A336)))</f>
        <v/>
      </c>
    </row>
    <row r="337" customFormat="false" ht="15" hidden="false" customHeight="false" outlineLevel="0" collapsed="false">
      <c r="A337" s="37"/>
      <c r="C337" s="0" t="str">
        <f aca="false">IF(B337="","",IFERROR(INDEX(Project_Register!$B$6:$B$40,MATCH(B337,Project_Register!$A$6:$A$40,0)),"Unknown ID"))</f>
        <v/>
      </c>
      <c r="D337" s="38"/>
      <c r="E337" s="24"/>
      <c r="F337" s="24"/>
      <c r="G337" s="39"/>
      <c r="J337" s="39"/>
      <c r="K337" s="38" t="str">
        <f aca="false">IF(OR(B337="",T337="On Hold"),"",MAX(0,MIN(1,(A337-INDEX(Project_Register!$G$6:$G$40,MATCH(B337,Project_Register!$A$6:$A$40,0)))/(INDEX(Project_Register!$H$6:$H$40,MATCH(B337,Project_Register!$A$6:$A$40,0))-INDEX(Project_Register!$G$6:$G$40,MATCH(B337,Project_Register!$A$6:$A$40,0))))))</f>
        <v/>
      </c>
      <c r="L337" s="40" t="str">
        <f aca="false">IF(OR(B337="",D337="",T337="On Hold"),"",ROUND((D337-K337)*100,0))</f>
        <v/>
      </c>
      <c r="M337" s="38" t="str">
        <f aca="false">IF(OR(B337="",F337=""),"",F337/INDEX(Project_Register!$I$6:$I$40,MATCH(B337,Project_Register!$A$6:$A$40,0)))</f>
        <v/>
      </c>
      <c r="N337" s="40" t="str">
        <f aca="false">IF(OR(B337="",G337="",T337="On Hold"),"",G337-INDEX(Project_Register!$H$6:$H$40,MATCH(B337,Project_Register!$A$6:$A$40,0)))</f>
        <v/>
      </c>
      <c r="O337" s="0" t="str">
        <f aca="false">IF(B337="","",IF(D337="","No update",IF(AND(T337&lt;&gt;"Active",D337&lt;1),T337,IF(D337&gt;=1,"Complete",IF(OR(L337&lt;=SV_Red,M337&gt;Cost_Red,N337&gt;Slip_Red),"Red",IF(OR(L337&lt;=SV_Amber,M337&gt;Cost_Amber,N337&gt;Slip_Amber),"Amber","Green"))))))</f>
        <v/>
      </c>
      <c r="P337" s="0" t="str">
        <f aca="false">IF(AND(H337="Green",OR(O337="Amber",O337="Red")),"Watermelon","")</f>
        <v/>
      </c>
      <c r="Q337" s="0" t="str">
        <f aca="false">IF(B337="","",IF(J337="","Missing",IF(J337&gt;A337+UpdateDue,"Late","On time")))</f>
        <v/>
      </c>
      <c r="R337" s="0" t="str">
        <f aca="false">IF(OR(B337="",D337=""),"",IF(COUNTIFS($B$6:$B$400,B337,$A$6:$A$400,EOMONTH(A337,-1))=0,"",IF(D337&lt;SUMIFS($D$6:$D$400,$B$6:$B$400,B337,$A$6:$A$400,EOMONTH(A337,-1)),"Dropped","")))</f>
        <v/>
      </c>
      <c r="S337" s="41" t="str">
        <f aca="false">IF(B337="","",B337&amp;"|"&amp;(YEAR(A337)*100+MONTH(A337)))</f>
        <v/>
      </c>
    </row>
    <row r="338" customFormat="false" ht="15" hidden="false" customHeight="false" outlineLevel="0" collapsed="false">
      <c r="A338" s="37"/>
      <c r="C338" s="0" t="str">
        <f aca="false">IF(B338="","",IFERROR(INDEX(Project_Register!$B$6:$B$40,MATCH(B338,Project_Register!$A$6:$A$40,0)),"Unknown ID"))</f>
        <v/>
      </c>
      <c r="D338" s="38"/>
      <c r="E338" s="24"/>
      <c r="F338" s="24"/>
      <c r="G338" s="39"/>
      <c r="J338" s="39"/>
      <c r="K338" s="38" t="str">
        <f aca="false">IF(OR(B338="",T338="On Hold"),"",MAX(0,MIN(1,(A338-INDEX(Project_Register!$G$6:$G$40,MATCH(B338,Project_Register!$A$6:$A$40,0)))/(INDEX(Project_Register!$H$6:$H$40,MATCH(B338,Project_Register!$A$6:$A$40,0))-INDEX(Project_Register!$G$6:$G$40,MATCH(B338,Project_Register!$A$6:$A$40,0))))))</f>
        <v/>
      </c>
      <c r="L338" s="40" t="str">
        <f aca="false">IF(OR(B338="",D338="",T338="On Hold"),"",ROUND((D338-K338)*100,0))</f>
        <v/>
      </c>
      <c r="M338" s="38" t="str">
        <f aca="false">IF(OR(B338="",F338=""),"",F338/INDEX(Project_Register!$I$6:$I$40,MATCH(B338,Project_Register!$A$6:$A$40,0)))</f>
        <v/>
      </c>
      <c r="N338" s="40" t="str">
        <f aca="false">IF(OR(B338="",G338="",T338="On Hold"),"",G338-INDEX(Project_Register!$H$6:$H$40,MATCH(B338,Project_Register!$A$6:$A$40,0)))</f>
        <v/>
      </c>
      <c r="O338" s="0" t="str">
        <f aca="false">IF(B338="","",IF(D338="","No update",IF(AND(T338&lt;&gt;"Active",D338&lt;1),T338,IF(D338&gt;=1,"Complete",IF(OR(L338&lt;=SV_Red,M338&gt;Cost_Red,N338&gt;Slip_Red),"Red",IF(OR(L338&lt;=SV_Amber,M338&gt;Cost_Amber,N338&gt;Slip_Amber),"Amber","Green"))))))</f>
        <v/>
      </c>
      <c r="P338" s="0" t="str">
        <f aca="false">IF(AND(H338="Green",OR(O338="Amber",O338="Red")),"Watermelon","")</f>
        <v/>
      </c>
      <c r="Q338" s="0" t="str">
        <f aca="false">IF(B338="","",IF(J338="","Missing",IF(J338&gt;A338+UpdateDue,"Late","On time")))</f>
        <v/>
      </c>
      <c r="R338" s="0" t="str">
        <f aca="false">IF(OR(B338="",D338=""),"",IF(COUNTIFS($B$6:$B$400,B338,$A$6:$A$400,EOMONTH(A338,-1))=0,"",IF(D338&lt;SUMIFS($D$6:$D$400,$B$6:$B$400,B338,$A$6:$A$400,EOMONTH(A338,-1)),"Dropped","")))</f>
        <v/>
      </c>
      <c r="S338" s="41" t="str">
        <f aca="false">IF(B338="","",B338&amp;"|"&amp;(YEAR(A338)*100+MONTH(A338)))</f>
        <v/>
      </c>
    </row>
    <row r="339" customFormat="false" ht="15" hidden="false" customHeight="false" outlineLevel="0" collapsed="false">
      <c r="A339" s="37"/>
      <c r="C339" s="0" t="str">
        <f aca="false">IF(B339="","",IFERROR(INDEX(Project_Register!$B$6:$B$40,MATCH(B339,Project_Register!$A$6:$A$40,0)),"Unknown ID"))</f>
        <v/>
      </c>
      <c r="D339" s="38"/>
      <c r="E339" s="24"/>
      <c r="F339" s="24"/>
      <c r="G339" s="39"/>
      <c r="J339" s="39"/>
      <c r="K339" s="38" t="str">
        <f aca="false">IF(OR(B339="",T339="On Hold"),"",MAX(0,MIN(1,(A339-INDEX(Project_Register!$G$6:$G$40,MATCH(B339,Project_Register!$A$6:$A$40,0)))/(INDEX(Project_Register!$H$6:$H$40,MATCH(B339,Project_Register!$A$6:$A$40,0))-INDEX(Project_Register!$G$6:$G$40,MATCH(B339,Project_Register!$A$6:$A$40,0))))))</f>
        <v/>
      </c>
      <c r="L339" s="40" t="str">
        <f aca="false">IF(OR(B339="",D339="",T339="On Hold"),"",ROUND((D339-K339)*100,0))</f>
        <v/>
      </c>
      <c r="M339" s="38" t="str">
        <f aca="false">IF(OR(B339="",F339=""),"",F339/INDEX(Project_Register!$I$6:$I$40,MATCH(B339,Project_Register!$A$6:$A$40,0)))</f>
        <v/>
      </c>
      <c r="N339" s="40" t="str">
        <f aca="false">IF(OR(B339="",G339="",T339="On Hold"),"",G339-INDEX(Project_Register!$H$6:$H$40,MATCH(B339,Project_Register!$A$6:$A$40,0)))</f>
        <v/>
      </c>
      <c r="O339" s="0" t="str">
        <f aca="false">IF(B339="","",IF(D339="","No update",IF(AND(T339&lt;&gt;"Active",D339&lt;1),T339,IF(D339&gt;=1,"Complete",IF(OR(L339&lt;=SV_Red,M339&gt;Cost_Red,N339&gt;Slip_Red),"Red",IF(OR(L339&lt;=SV_Amber,M339&gt;Cost_Amber,N339&gt;Slip_Amber),"Amber","Green"))))))</f>
        <v/>
      </c>
      <c r="P339" s="0" t="str">
        <f aca="false">IF(AND(H339="Green",OR(O339="Amber",O339="Red")),"Watermelon","")</f>
        <v/>
      </c>
      <c r="Q339" s="0" t="str">
        <f aca="false">IF(B339="","",IF(J339="","Missing",IF(J339&gt;A339+UpdateDue,"Late","On time")))</f>
        <v/>
      </c>
      <c r="R339" s="0" t="str">
        <f aca="false">IF(OR(B339="",D339=""),"",IF(COUNTIFS($B$6:$B$400,B339,$A$6:$A$400,EOMONTH(A339,-1))=0,"",IF(D339&lt;SUMIFS($D$6:$D$400,$B$6:$B$400,B339,$A$6:$A$400,EOMONTH(A339,-1)),"Dropped","")))</f>
        <v/>
      </c>
      <c r="S339" s="41" t="str">
        <f aca="false">IF(B339="","",B339&amp;"|"&amp;(YEAR(A339)*100+MONTH(A339)))</f>
        <v/>
      </c>
    </row>
    <row r="340" customFormat="false" ht="15" hidden="false" customHeight="false" outlineLevel="0" collapsed="false">
      <c r="A340" s="37"/>
      <c r="C340" s="0" t="str">
        <f aca="false">IF(B340="","",IFERROR(INDEX(Project_Register!$B$6:$B$40,MATCH(B340,Project_Register!$A$6:$A$40,0)),"Unknown ID"))</f>
        <v/>
      </c>
      <c r="D340" s="38"/>
      <c r="E340" s="24"/>
      <c r="F340" s="24"/>
      <c r="G340" s="39"/>
      <c r="J340" s="39"/>
      <c r="K340" s="38" t="str">
        <f aca="false">IF(OR(B340="",T340="On Hold"),"",MAX(0,MIN(1,(A340-INDEX(Project_Register!$G$6:$G$40,MATCH(B340,Project_Register!$A$6:$A$40,0)))/(INDEX(Project_Register!$H$6:$H$40,MATCH(B340,Project_Register!$A$6:$A$40,0))-INDEX(Project_Register!$G$6:$G$40,MATCH(B340,Project_Register!$A$6:$A$40,0))))))</f>
        <v/>
      </c>
      <c r="L340" s="40" t="str">
        <f aca="false">IF(OR(B340="",D340="",T340="On Hold"),"",ROUND((D340-K340)*100,0))</f>
        <v/>
      </c>
      <c r="M340" s="38" t="str">
        <f aca="false">IF(OR(B340="",F340=""),"",F340/INDEX(Project_Register!$I$6:$I$40,MATCH(B340,Project_Register!$A$6:$A$40,0)))</f>
        <v/>
      </c>
      <c r="N340" s="40" t="str">
        <f aca="false">IF(OR(B340="",G340="",T340="On Hold"),"",G340-INDEX(Project_Register!$H$6:$H$40,MATCH(B340,Project_Register!$A$6:$A$40,0)))</f>
        <v/>
      </c>
      <c r="O340" s="0" t="str">
        <f aca="false">IF(B340="","",IF(D340="","No update",IF(AND(T340&lt;&gt;"Active",D340&lt;1),T340,IF(D340&gt;=1,"Complete",IF(OR(L340&lt;=SV_Red,M340&gt;Cost_Red,N340&gt;Slip_Red),"Red",IF(OR(L340&lt;=SV_Amber,M340&gt;Cost_Amber,N340&gt;Slip_Amber),"Amber","Green"))))))</f>
        <v/>
      </c>
      <c r="P340" s="0" t="str">
        <f aca="false">IF(AND(H340="Green",OR(O340="Amber",O340="Red")),"Watermelon","")</f>
        <v/>
      </c>
      <c r="Q340" s="0" t="str">
        <f aca="false">IF(B340="","",IF(J340="","Missing",IF(J340&gt;A340+UpdateDue,"Late","On time")))</f>
        <v/>
      </c>
      <c r="R340" s="0" t="str">
        <f aca="false">IF(OR(B340="",D340=""),"",IF(COUNTIFS($B$6:$B$400,B340,$A$6:$A$400,EOMONTH(A340,-1))=0,"",IF(D340&lt;SUMIFS($D$6:$D$400,$B$6:$B$400,B340,$A$6:$A$400,EOMONTH(A340,-1)),"Dropped","")))</f>
        <v/>
      </c>
      <c r="S340" s="41" t="str">
        <f aca="false">IF(B340="","",B340&amp;"|"&amp;(YEAR(A340)*100+MONTH(A340)))</f>
        <v/>
      </c>
    </row>
    <row r="341" customFormat="false" ht="15" hidden="false" customHeight="false" outlineLevel="0" collapsed="false">
      <c r="A341" s="37"/>
      <c r="C341" s="0" t="str">
        <f aca="false">IF(B341="","",IFERROR(INDEX(Project_Register!$B$6:$B$40,MATCH(B341,Project_Register!$A$6:$A$40,0)),"Unknown ID"))</f>
        <v/>
      </c>
      <c r="D341" s="38"/>
      <c r="E341" s="24"/>
      <c r="F341" s="24"/>
      <c r="G341" s="39"/>
      <c r="J341" s="39"/>
      <c r="K341" s="38" t="str">
        <f aca="false">IF(OR(B341="",T341="On Hold"),"",MAX(0,MIN(1,(A341-INDEX(Project_Register!$G$6:$G$40,MATCH(B341,Project_Register!$A$6:$A$40,0)))/(INDEX(Project_Register!$H$6:$H$40,MATCH(B341,Project_Register!$A$6:$A$40,0))-INDEX(Project_Register!$G$6:$G$40,MATCH(B341,Project_Register!$A$6:$A$40,0))))))</f>
        <v/>
      </c>
      <c r="L341" s="40" t="str">
        <f aca="false">IF(OR(B341="",D341="",T341="On Hold"),"",ROUND((D341-K341)*100,0))</f>
        <v/>
      </c>
      <c r="M341" s="38" t="str">
        <f aca="false">IF(OR(B341="",F341=""),"",F341/INDEX(Project_Register!$I$6:$I$40,MATCH(B341,Project_Register!$A$6:$A$40,0)))</f>
        <v/>
      </c>
      <c r="N341" s="40" t="str">
        <f aca="false">IF(OR(B341="",G341="",T341="On Hold"),"",G341-INDEX(Project_Register!$H$6:$H$40,MATCH(B341,Project_Register!$A$6:$A$40,0)))</f>
        <v/>
      </c>
      <c r="O341" s="0" t="str">
        <f aca="false">IF(B341="","",IF(D341="","No update",IF(AND(T341&lt;&gt;"Active",D341&lt;1),T341,IF(D341&gt;=1,"Complete",IF(OR(L341&lt;=SV_Red,M341&gt;Cost_Red,N341&gt;Slip_Red),"Red",IF(OR(L341&lt;=SV_Amber,M341&gt;Cost_Amber,N341&gt;Slip_Amber),"Amber","Green"))))))</f>
        <v/>
      </c>
      <c r="P341" s="0" t="str">
        <f aca="false">IF(AND(H341="Green",OR(O341="Amber",O341="Red")),"Watermelon","")</f>
        <v/>
      </c>
      <c r="Q341" s="0" t="str">
        <f aca="false">IF(B341="","",IF(J341="","Missing",IF(J341&gt;A341+UpdateDue,"Late","On time")))</f>
        <v/>
      </c>
      <c r="R341" s="0" t="str">
        <f aca="false">IF(OR(B341="",D341=""),"",IF(COUNTIFS($B$6:$B$400,B341,$A$6:$A$400,EOMONTH(A341,-1))=0,"",IF(D341&lt;SUMIFS($D$6:$D$400,$B$6:$B$400,B341,$A$6:$A$400,EOMONTH(A341,-1)),"Dropped","")))</f>
        <v/>
      </c>
      <c r="S341" s="41" t="str">
        <f aca="false">IF(B341="","",B341&amp;"|"&amp;(YEAR(A341)*100+MONTH(A341)))</f>
        <v/>
      </c>
    </row>
    <row r="342" customFormat="false" ht="15" hidden="false" customHeight="false" outlineLevel="0" collapsed="false">
      <c r="A342" s="37"/>
      <c r="C342" s="0" t="str">
        <f aca="false">IF(B342="","",IFERROR(INDEX(Project_Register!$B$6:$B$40,MATCH(B342,Project_Register!$A$6:$A$40,0)),"Unknown ID"))</f>
        <v/>
      </c>
      <c r="D342" s="38"/>
      <c r="E342" s="24"/>
      <c r="F342" s="24"/>
      <c r="G342" s="39"/>
      <c r="J342" s="39"/>
      <c r="K342" s="38" t="str">
        <f aca="false">IF(OR(B342="",T342="On Hold"),"",MAX(0,MIN(1,(A342-INDEX(Project_Register!$G$6:$G$40,MATCH(B342,Project_Register!$A$6:$A$40,0)))/(INDEX(Project_Register!$H$6:$H$40,MATCH(B342,Project_Register!$A$6:$A$40,0))-INDEX(Project_Register!$G$6:$G$40,MATCH(B342,Project_Register!$A$6:$A$40,0))))))</f>
        <v/>
      </c>
      <c r="L342" s="40" t="str">
        <f aca="false">IF(OR(B342="",D342="",T342="On Hold"),"",ROUND((D342-K342)*100,0))</f>
        <v/>
      </c>
      <c r="M342" s="38" t="str">
        <f aca="false">IF(OR(B342="",F342=""),"",F342/INDEX(Project_Register!$I$6:$I$40,MATCH(B342,Project_Register!$A$6:$A$40,0)))</f>
        <v/>
      </c>
      <c r="N342" s="40" t="str">
        <f aca="false">IF(OR(B342="",G342="",T342="On Hold"),"",G342-INDEX(Project_Register!$H$6:$H$40,MATCH(B342,Project_Register!$A$6:$A$40,0)))</f>
        <v/>
      </c>
      <c r="O342" s="0" t="str">
        <f aca="false">IF(B342="","",IF(D342="","No update",IF(AND(T342&lt;&gt;"Active",D342&lt;1),T342,IF(D342&gt;=1,"Complete",IF(OR(L342&lt;=SV_Red,M342&gt;Cost_Red,N342&gt;Slip_Red),"Red",IF(OR(L342&lt;=SV_Amber,M342&gt;Cost_Amber,N342&gt;Slip_Amber),"Amber","Green"))))))</f>
        <v/>
      </c>
      <c r="P342" s="0" t="str">
        <f aca="false">IF(AND(H342="Green",OR(O342="Amber",O342="Red")),"Watermelon","")</f>
        <v/>
      </c>
      <c r="Q342" s="0" t="str">
        <f aca="false">IF(B342="","",IF(J342="","Missing",IF(J342&gt;A342+UpdateDue,"Late","On time")))</f>
        <v/>
      </c>
      <c r="R342" s="0" t="str">
        <f aca="false">IF(OR(B342="",D342=""),"",IF(COUNTIFS($B$6:$B$400,B342,$A$6:$A$400,EOMONTH(A342,-1))=0,"",IF(D342&lt;SUMIFS($D$6:$D$400,$B$6:$B$400,B342,$A$6:$A$400,EOMONTH(A342,-1)),"Dropped","")))</f>
        <v/>
      </c>
      <c r="S342" s="41" t="str">
        <f aca="false">IF(B342="","",B342&amp;"|"&amp;(YEAR(A342)*100+MONTH(A342)))</f>
        <v/>
      </c>
    </row>
    <row r="343" customFormat="false" ht="15" hidden="false" customHeight="false" outlineLevel="0" collapsed="false">
      <c r="A343" s="37"/>
      <c r="C343" s="0" t="str">
        <f aca="false">IF(B343="","",IFERROR(INDEX(Project_Register!$B$6:$B$40,MATCH(B343,Project_Register!$A$6:$A$40,0)),"Unknown ID"))</f>
        <v/>
      </c>
      <c r="D343" s="38"/>
      <c r="E343" s="24"/>
      <c r="F343" s="24"/>
      <c r="G343" s="39"/>
      <c r="J343" s="39"/>
      <c r="K343" s="38" t="str">
        <f aca="false">IF(OR(B343="",T343="On Hold"),"",MAX(0,MIN(1,(A343-INDEX(Project_Register!$G$6:$G$40,MATCH(B343,Project_Register!$A$6:$A$40,0)))/(INDEX(Project_Register!$H$6:$H$40,MATCH(B343,Project_Register!$A$6:$A$40,0))-INDEX(Project_Register!$G$6:$G$40,MATCH(B343,Project_Register!$A$6:$A$40,0))))))</f>
        <v/>
      </c>
      <c r="L343" s="40" t="str">
        <f aca="false">IF(OR(B343="",D343="",T343="On Hold"),"",ROUND((D343-K343)*100,0))</f>
        <v/>
      </c>
      <c r="M343" s="38" t="str">
        <f aca="false">IF(OR(B343="",F343=""),"",F343/INDEX(Project_Register!$I$6:$I$40,MATCH(B343,Project_Register!$A$6:$A$40,0)))</f>
        <v/>
      </c>
      <c r="N343" s="40" t="str">
        <f aca="false">IF(OR(B343="",G343="",T343="On Hold"),"",G343-INDEX(Project_Register!$H$6:$H$40,MATCH(B343,Project_Register!$A$6:$A$40,0)))</f>
        <v/>
      </c>
      <c r="O343" s="0" t="str">
        <f aca="false">IF(B343="","",IF(D343="","No update",IF(AND(T343&lt;&gt;"Active",D343&lt;1),T343,IF(D343&gt;=1,"Complete",IF(OR(L343&lt;=SV_Red,M343&gt;Cost_Red,N343&gt;Slip_Red),"Red",IF(OR(L343&lt;=SV_Amber,M343&gt;Cost_Amber,N343&gt;Slip_Amber),"Amber","Green"))))))</f>
        <v/>
      </c>
      <c r="P343" s="0" t="str">
        <f aca="false">IF(AND(H343="Green",OR(O343="Amber",O343="Red")),"Watermelon","")</f>
        <v/>
      </c>
      <c r="Q343" s="0" t="str">
        <f aca="false">IF(B343="","",IF(J343="","Missing",IF(J343&gt;A343+UpdateDue,"Late","On time")))</f>
        <v/>
      </c>
      <c r="R343" s="0" t="str">
        <f aca="false">IF(OR(B343="",D343=""),"",IF(COUNTIFS($B$6:$B$400,B343,$A$6:$A$400,EOMONTH(A343,-1))=0,"",IF(D343&lt;SUMIFS($D$6:$D$400,$B$6:$B$400,B343,$A$6:$A$400,EOMONTH(A343,-1)),"Dropped","")))</f>
        <v/>
      </c>
      <c r="S343" s="41" t="str">
        <f aca="false">IF(B343="","",B343&amp;"|"&amp;(YEAR(A343)*100+MONTH(A343)))</f>
        <v/>
      </c>
    </row>
    <row r="344" customFormat="false" ht="15" hidden="false" customHeight="false" outlineLevel="0" collapsed="false">
      <c r="A344" s="37"/>
      <c r="C344" s="0" t="str">
        <f aca="false">IF(B344="","",IFERROR(INDEX(Project_Register!$B$6:$B$40,MATCH(B344,Project_Register!$A$6:$A$40,0)),"Unknown ID"))</f>
        <v/>
      </c>
      <c r="D344" s="38"/>
      <c r="E344" s="24"/>
      <c r="F344" s="24"/>
      <c r="G344" s="39"/>
      <c r="J344" s="39"/>
      <c r="K344" s="38" t="str">
        <f aca="false">IF(OR(B344="",T344="On Hold"),"",MAX(0,MIN(1,(A344-INDEX(Project_Register!$G$6:$G$40,MATCH(B344,Project_Register!$A$6:$A$40,0)))/(INDEX(Project_Register!$H$6:$H$40,MATCH(B344,Project_Register!$A$6:$A$40,0))-INDEX(Project_Register!$G$6:$G$40,MATCH(B344,Project_Register!$A$6:$A$40,0))))))</f>
        <v/>
      </c>
      <c r="L344" s="40" t="str">
        <f aca="false">IF(OR(B344="",D344="",T344="On Hold"),"",ROUND((D344-K344)*100,0))</f>
        <v/>
      </c>
      <c r="M344" s="38" t="str">
        <f aca="false">IF(OR(B344="",F344=""),"",F344/INDEX(Project_Register!$I$6:$I$40,MATCH(B344,Project_Register!$A$6:$A$40,0)))</f>
        <v/>
      </c>
      <c r="N344" s="40" t="str">
        <f aca="false">IF(OR(B344="",G344="",T344="On Hold"),"",G344-INDEX(Project_Register!$H$6:$H$40,MATCH(B344,Project_Register!$A$6:$A$40,0)))</f>
        <v/>
      </c>
      <c r="O344" s="0" t="str">
        <f aca="false">IF(B344="","",IF(D344="","No update",IF(AND(T344&lt;&gt;"Active",D344&lt;1),T344,IF(D344&gt;=1,"Complete",IF(OR(L344&lt;=SV_Red,M344&gt;Cost_Red,N344&gt;Slip_Red),"Red",IF(OR(L344&lt;=SV_Amber,M344&gt;Cost_Amber,N344&gt;Slip_Amber),"Amber","Green"))))))</f>
        <v/>
      </c>
      <c r="P344" s="0" t="str">
        <f aca="false">IF(AND(H344="Green",OR(O344="Amber",O344="Red")),"Watermelon","")</f>
        <v/>
      </c>
      <c r="Q344" s="0" t="str">
        <f aca="false">IF(B344="","",IF(J344="","Missing",IF(J344&gt;A344+UpdateDue,"Late","On time")))</f>
        <v/>
      </c>
      <c r="R344" s="0" t="str">
        <f aca="false">IF(OR(B344="",D344=""),"",IF(COUNTIFS($B$6:$B$400,B344,$A$6:$A$400,EOMONTH(A344,-1))=0,"",IF(D344&lt;SUMIFS($D$6:$D$400,$B$6:$B$400,B344,$A$6:$A$400,EOMONTH(A344,-1)),"Dropped","")))</f>
        <v/>
      </c>
      <c r="S344" s="41" t="str">
        <f aca="false">IF(B344="","",B344&amp;"|"&amp;(YEAR(A344)*100+MONTH(A344)))</f>
        <v/>
      </c>
    </row>
    <row r="345" customFormat="false" ht="15" hidden="false" customHeight="false" outlineLevel="0" collapsed="false">
      <c r="A345" s="37"/>
      <c r="C345" s="0" t="str">
        <f aca="false">IF(B345="","",IFERROR(INDEX(Project_Register!$B$6:$B$40,MATCH(B345,Project_Register!$A$6:$A$40,0)),"Unknown ID"))</f>
        <v/>
      </c>
      <c r="D345" s="38"/>
      <c r="E345" s="24"/>
      <c r="F345" s="24"/>
      <c r="G345" s="39"/>
      <c r="J345" s="39"/>
      <c r="K345" s="38" t="str">
        <f aca="false">IF(OR(B345="",T345="On Hold"),"",MAX(0,MIN(1,(A345-INDEX(Project_Register!$G$6:$G$40,MATCH(B345,Project_Register!$A$6:$A$40,0)))/(INDEX(Project_Register!$H$6:$H$40,MATCH(B345,Project_Register!$A$6:$A$40,0))-INDEX(Project_Register!$G$6:$G$40,MATCH(B345,Project_Register!$A$6:$A$40,0))))))</f>
        <v/>
      </c>
      <c r="L345" s="40" t="str">
        <f aca="false">IF(OR(B345="",D345="",T345="On Hold"),"",ROUND((D345-K345)*100,0))</f>
        <v/>
      </c>
      <c r="M345" s="38" t="str">
        <f aca="false">IF(OR(B345="",F345=""),"",F345/INDEX(Project_Register!$I$6:$I$40,MATCH(B345,Project_Register!$A$6:$A$40,0)))</f>
        <v/>
      </c>
      <c r="N345" s="40" t="str">
        <f aca="false">IF(OR(B345="",G345="",T345="On Hold"),"",G345-INDEX(Project_Register!$H$6:$H$40,MATCH(B345,Project_Register!$A$6:$A$40,0)))</f>
        <v/>
      </c>
      <c r="O345" s="0" t="str">
        <f aca="false">IF(B345="","",IF(D345="","No update",IF(AND(T345&lt;&gt;"Active",D345&lt;1),T345,IF(D345&gt;=1,"Complete",IF(OR(L345&lt;=SV_Red,M345&gt;Cost_Red,N345&gt;Slip_Red),"Red",IF(OR(L345&lt;=SV_Amber,M345&gt;Cost_Amber,N345&gt;Slip_Amber),"Amber","Green"))))))</f>
        <v/>
      </c>
      <c r="P345" s="0" t="str">
        <f aca="false">IF(AND(H345="Green",OR(O345="Amber",O345="Red")),"Watermelon","")</f>
        <v/>
      </c>
      <c r="Q345" s="0" t="str">
        <f aca="false">IF(B345="","",IF(J345="","Missing",IF(J345&gt;A345+UpdateDue,"Late","On time")))</f>
        <v/>
      </c>
      <c r="R345" s="0" t="str">
        <f aca="false">IF(OR(B345="",D345=""),"",IF(COUNTIFS($B$6:$B$400,B345,$A$6:$A$400,EOMONTH(A345,-1))=0,"",IF(D345&lt;SUMIFS($D$6:$D$400,$B$6:$B$400,B345,$A$6:$A$400,EOMONTH(A345,-1)),"Dropped","")))</f>
        <v/>
      </c>
      <c r="S345" s="41" t="str">
        <f aca="false">IF(B345="","",B345&amp;"|"&amp;(YEAR(A345)*100+MONTH(A345)))</f>
        <v/>
      </c>
    </row>
    <row r="346" customFormat="false" ht="15" hidden="false" customHeight="false" outlineLevel="0" collapsed="false">
      <c r="A346" s="37"/>
      <c r="C346" s="0" t="str">
        <f aca="false">IF(B346="","",IFERROR(INDEX(Project_Register!$B$6:$B$40,MATCH(B346,Project_Register!$A$6:$A$40,0)),"Unknown ID"))</f>
        <v/>
      </c>
      <c r="D346" s="38"/>
      <c r="E346" s="24"/>
      <c r="F346" s="24"/>
      <c r="G346" s="39"/>
      <c r="J346" s="39"/>
      <c r="K346" s="38" t="str">
        <f aca="false">IF(OR(B346="",T346="On Hold"),"",MAX(0,MIN(1,(A346-INDEX(Project_Register!$G$6:$G$40,MATCH(B346,Project_Register!$A$6:$A$40,0)))/(INDEX(Project_Register!$H$6:$H$40,MATCH(B346,Project_Register!$A$6:$A$40,0))-INDEX(Project_Register!$G$6:$G$40,MATCH(B346,Project_Register!$A$6:$A$40,0))))))</f>
        <v/>
      </c>
      <c r="L346" s="40" t="str">
        <f aca="false">IF(OR(B346="",D346="",T346="On Hold"),"",ROUND((D346-K346)*100,0))</f>
        <v/>
      </c>
      <c r="M346" s="38" t="str">
        <f aca="false">IF(OR(B346="",F346=""),"",F346/INDEX(Project_Register!$I$6:$I$40,MATCH(B346,Project_Register!$A$6:$A$40,0)))</f>
        <v/>
      </c>
      <c r="N346" s="40" t="str">
        <f aca="false">IF(OR(B346="",G346="",T346="On Hold"),"",G346-INDEX(Project_Register!$H$6:$H$40,MATCH(B346,Project_Register!$A$6:$A$40,0)))</f>
        <v/>
      </c>
      <c r="O346" s="0" t="str">
        <f aca="false">IF(B346="","",IF(D346="","No update",IF(AND(T346&lt;&gt;"Active",D346&lt;1),T346,IF(D346&gt;=1,"Complete",IF(OR(L346&lt;=SV_Red,M346&gt;Cost_Red,N346&gt;Slip_Red),"Red",IF(OR(L346&lt;=SV_Amber,M346&gt;Cost_Amber,N346&gt;Slip_Amber),"Amber","Green"))))))</f>
        <v/>
      </c>
      <c r="P346" s="0" t="str">
        <f aca="false">IF(AND(H346="Green",OR(O346="Amber",O346="Red")),"Watermelon","")</f>
        <v/>
      </c>
      <c r="Q346" s="0" t="str">
        <f aca="false">IF(B346="","",IF(J346="","Missing",IF(J346&gt;A346+UpdateDue,"Late","On time")))</f>
        <v/>
      </c>
      <c r="R346" s="0" t="str">
        <f aca="false">IF(OR(B346="",D346=""),"",IF(COUNTIFS($B$6:$B$400,B346,$A$6:$A$400,EOMONTH(A346,-1))=0,"",IF(D346&lt;SUMIFS($D$6:$D$400,$B$6:$B$400,B346,$A$6:$A$400,EOMONTH(A346,-1)),"Dropped","")))</f>
        <v/>
      </c>
      <c r="S346" s="41" t="str">
        <f aca="false">IF(B346="","",B346&amp;"|"&amp;(YEAR(A346)*100+MONTH(A346)))</f>
        <v/>
      </c>
    </row>
    <row r="347" customFormat="false" ht="15" hidden="false" customHeight="false" outlineLevel="0" collapsed="false">
      <c r="A347" s="37"/>
      <c r="C347" s="0" t="str">
        <f aca="false">IF(B347="","",IFERROR(INDEX(Project_Register!$B$6:$B$40,MATCH(B347,Project_Register!$A$6:$A$40,0)),"Unknown ID"))</f>
        <v/>
      </c>
      <c r="D347" s="38"/>
      <c r="E347" s="24"/>
      <c r="F347" s="24"/>
      <c r="G347" s="39"/>
      <c r="J347" s="39"/>
      <c r="K347" s="38" t="str">
        <f aca="false">IF(OR(B347="",T347="On Hold"),"",MAX(0,MIN(1,(A347-INDEX(Project_Register!$G$6:$G$40,MATCH(B347,Project_Register!$A$6:$A$40,0)))/(INDEX(Project_Register!$H$6:$H$40,MATCH(B347,Project_Register!$A$6:$A$40,0))-INDEX(Project_Register!$G$6:$G$40,MATCH(B347,Project_Register!$A$6:$A$40,0))))))</f>
        <v/>
      </c>
      <c r="L347" s="40" t="str">
        <f aca="false">IF(OR(B347="",D347="",T347="On Hold"),"",ROUND((D347-K347)*100,0))</f>
        <v/>
      </c>
      <c r="M347" s="38" t="str">
        <f aca="false">IF(OR(B347="",F347=""),"",F347/INDEX(Project_Register!$I$6:$I$40,MATCH(B347,Project_Register!$A$6:$A$40,0)))</f>
        <v/>
      </c>
      <c r="N347" s="40" t="str">
        <f aca="false">IF(OR(B347="",G347="",T347="On Hold"),"",G347-INDEX(Project_Register!$H$6:$H$40,MATCH(B347,Project_Register!$A$6:$A$40,0)))</f>
        <v/>
      </c>
      <c r="O347" s="0" t="str">
        <f aca="false">IF(B347="","",IF(D347="","No update",IF(AND(T347&lt;&gt;"Active",D347&lt;1),T347,IF(D347&gt;=1,"Complete",IF(OR(L347&lt;=SV_Red,M347&gt;Cost_Red,N347&gt;Slip_Red),"Red",IF(OR(L347&lt;=SV_Amber,M347&gt;Cost_Amber,N347&gt;Slip_Amber),"Amber","Green"))))))</f>
        <v/>
      </c>
      <c r="P347" s="0" t="str">
        <f aca="false">IF(AND(H347="Green",OR(O347="Amber",O347="Red")),"Watermelon","")</f>
        <v/>
      </c>
      <c r="Q347" s="0" t="str">
        <f aca="false">IF(B347="","",IF(J347="","Missing",IF(J347&gt;A347+UpdateDue,"Late","On time")))</f>
        <v/>
      </c>
      <c r="R347" s="0" t="str">
        <f aca="false">IF(OR(B347="",D347=""),"",IF(COUNTIFS($B$6:$B$400,B347,$A$6:$A$400,EOMONTH(A347,-1))=0,"",IF(D347&lt;SUMIFS($D$6:$D$400,$B$6:$B$400,B347,$A$6:$A$400,EOMONTH(A347,-1)),"Dropped","")))</f>
        <v/>
      </c>
      <c r="S347" s="41" t="str">
        <f aca="false">IF(B347="","",B347&amp;"|"&amp;(YEAR(A347)*100+MONTH(A347)))</f>
        <v/>
      </c>
    </row>
    <row r="348" customFormat="false" ht="15" hidden="false" customHeight="false" outlineLevel="0" collapsed="false">
      <c r="A348" s="37"/>
      <c r="C348" s="0" t="str">
        <f aca="false">IF(B348="","",IFERROR(INDEX(Project_Register!$B$6:$B$40,MATCH(B348,Project_Register!$A$6:$A$40,0)),"Unknown ID"))</f>
        <v/>
      </c>
      <c r="D348" s="38"/>
      <c r="E348" s="24"/>
      <c r="F348" s="24"/>
      <c r="G348" s="39"/>
      <c r="J348" s="39"/>
      <c r="K348" s="38" t="str">
        <f aca="false">IF(OR(B348="",T348="On Hold"),"",MAX(0,MIN(1,(A348-INDEX(Project_Register!$G$6:$G$40,MATCH(B348,Project_Register!$A$6:$A$40,0)))/(INDEX(Project_Register!$H$6:$H$40,MATCH(B348,Project_Register!$A$6:$A$40,0))-INDEX(Project_Register!$G$6:$G$40,MATCH(B348,Project_Register!$A$6:$A$40,0))))))</f>
        <v/>
      </c>
      <c r="L348" s="40" t="str">
        <f aca="false">IF(OR(B348="",D348="",T348="On Hold"),"",ROUND((D348-K348)*100,0))</f>
        <v/>
      </c>
      <c r="M348" s="38" t="str">
        <f aca="false">IF(OR(B348="",F348=""),"",F348/INDEX(Project_Register!$I$6:$I$40,MATCH(B348,Project_Register!$A$6:$A$40,0)))</f>
        <v/>
      </c>
      <c r="N348" s="40" t="str">
        <f aca="false">IF(OR(B348="",G348="",T348="On Hold"),"",G348-INDEX(Project_Register!$H$6:$H$40,MATCH(B348,Project_Register!$A$6:$A$40,0)))</f>
        <v/>
      </c>
      <c r="O348" s="0" t="str">
        <f aca="false">IF(B348="","",IF(D348="","No update",IF(AND(T348&lt;&gt;"Active",D348&lt;1),T348,IF(D348&gt;=1,"Complete",IF(OR(L348&lt;=SV_Red,M348&gt;Cost_Red,N348&gt;Slip_Red),"Red",IF(OR(L348&lt;=SV_Amber,M348&gt;Cost_Amber,N348&gt;Slip_Amber),"Amber","Green"))))))</f>
        <v/>
      </c>
      <c r="P348" s="0" t="str">
        <f aca="false">IF(AND(H348="Green",OR(O348="Amber",O348="Red")),"Watermelon","")</f>
        <v/>
      </c>
      <c r="Q348" s="0" t="str">
        <f aca="false">IF(B348="","",IF(J348="","Missing",IF(J348&gt;A348+UpdateDue,"Late","On time")))</f>
        <v/>
      </c>
      <c r="R348" s="0" t="str">
        <f aca="false">IF(OR(B348="",D348=""),"",IF(COUNTIFS($B$6:$B$400,B348,$A$6:$A$400,EOMONTH(A348,-1))=0,"",IF(D348&lt;SUMIFS($D$6:$D$400,$B$6:$B$400,B348,$A$6:$A$400,EOMONTH(A348,-1)),"Dropped","")))</f>
        <v/>
      </c>
      <c r="S348" s="41" t="str">
        <f aca="false">IF(B348="","",B348&amp;"|"&amp;(YEAR(A348)*100+MONTH(A348)))</f>
        <v/>
      </c>
    </row>
    <row r="349" customFormat="false" ht="15" hidden="false" customHeight="false" outlineLevel="0" collapsed="false">
      <c r="A349" s="37"/>
      <c r="C349" s="0" t="str">
        <f aca="false">IF(B349="","",IFERROR(INDEX(Project_Register!$B$6:$B$40,MATCH(B349,Project_Register!$A$6:$A$40,0)),"Unknown ID"))</f>
        <v/>
      </c>
      <c r="D349" s="38"/>
      <c r="E349" s="24"/>
      <c r="F349" s="24"/>
      <c r="G349" s="39"/>
      <c r="J349" s="39"/>
      <c r="K349" s="38" t="str">
        <f aca="false">IF(OR(B349="",T349="On Hold"),"",MAX(0,MIN(1,(A349-INDEX(Project_Register!$G$6:$G$40,MATCH(B349,Project_Register!$A$6:$A$40,0)))/(INDEX(Project_Register!$H$6:$H$40,MATCH(B349,Project_Register!$A$6:$A$40,0))-INDEX(Project_Register!$G$6:$G$40,MATCH(B349,Project_Register!$A$6:$A$40,0))))))</f>
        <v/>
      </c>
      <c r="L349" s="40" t="str">
        <f aca="false">IF(OR(B349="",D349="",T349="On Hold"),"",ROUND((D349-K349)*100,0))</f>
        <v/>
      </c>
      <c r="M349" s="38" t="str">
        <f aca="false">IF(OR(B349="",F349=""),"",F349/INDEX(Project_Register!$I$6:$I$40,MATCH(B349,Project_Register!$A$6:$A$40,0)))</f>
        <v/>
      </c>
      <c r="N349" s="40" t="str">
        <f aca="false">IF(OR(B349="",G349="",T349="On Hold"),"",G349-INDEX(Project_Register!$H$6:$H$40,MATCH(B349,Project_Register!$A$6:$A$40,0)))</f>
        <v/>
      </c>
      <c r="O349" s="0" t="str">
        <f aca="false">IF(B349="","",IF(D349="","No update",IF(AND(T349&lt;&gt;"Active",D349&lt;1),T349,IF(D349&gt;=1,"Complete",IF(OR(L349&lt;=SV_Red,M349&gt;Cost_Red,N349&gt;Slip_Red),"Red",IF(OR(L349&lt;=SV_Amber,M349&gt;Cost_Amber,N349&gt;Slip_Amber),"Amber","Green"))))))</f>
        <v/>
      </c>
      <c r="P349" s="0" t="str">
        <f aca="false">IF(AND(H349="Green",OR(O349="Amber",O349="Red")),"Watermelon","")</f>
        <v/>
      </c>
      <c r="Q349" s="0" t="str">
        <f aca="false">IF(B349="","",IF(J349="","Missing",IF(J349&gt;A349+UpdateDue,"Late","On time")))</f>
        <v/>
      </c>
      <c r="R349" s="0" t="str">
        <f aca="false">IF(OR(B349="",D349=""),"",IF(COUNTIFS($B$6:$B$400,B349,$A$6:$A$400,EOMONTH(A349,-1))=0,"",IF(D349&lt;SUMIFS($D$6:$D$400,$B$6:$B$400,B349,$A$6:$A$400,EOMONTH(A349,-1)),"Dropped","")))</f>
        <v/>
      </c>
      <c r="S349" s="41" t="str">
        <f aca="false">IF(B349="","",B349&amp;"|"&amp;(YEAR(A349)*100+MONTH(A349)))</f>
        <v/>
      </c>
    </row>
    <row r="350" customFormat="false" ht="15" hidden="false" customHeight="false" outlineLevel="0" collapsed="false">
      <c r="A350" s="37"/>
      <c r="C350" s="0" t="str">
        <f aca="false">IF(B350="","",IFERROR(INDEX(Project_Register!$B$6:$B$40,MATCH(B350,Project_Register!$A$6:$A$40,0)),"Unknown ID"))</f>
        <v/>
      </c>
      <c r="D350" s="38"/>
      <c r="E350" s="24"/>
      <c r="F350" s="24"/>
      <c r="G350" s="39"/>
      <c r="J350" s="39"/>
      <c r="K350" s="38" t="str">
        <f aca="false">IF(OR(B350="",T350="On Hold"),"",MAX(0,MIN(1,(A350-INDEX(Project_Register!$G$6:$G$40,MATCH(B350,Project_Register!$A$6:$A$40,0)))/(INDEX(Project_Register!$H$6:$H$40,MATCH(B350,Project_Register!$A$6:$A$40,0))-INDEX(Project_Register!$G$6:$G$40,MATCH(B350,Project_Register!$A$6:$A$40,0))))))</f>
        <v/>
      </c>
      <c r="L350" s="40" t="str">
        <f aca="false">IF(OR(B350="",D350="",T350="On Hold"),"",ROUND((D350-K350)*100,0))</f>
        <v/>
      </c>
      <c r="M350" s="38" t="str">
        <f aca="false">IF(OR(B350="",F350=""),"",F350/INDEX(Project_Register!$I$6:$I$40,MATCH(B350,Project_Register!$A$6:$A$40,0)))</f>
        <v/>
      </c>
      <c r="N350" s="40" t="str">
        <f aca="false">IF(OR(B350="",G350="",T350="On Hold"),"",G350-INDEX(Project_Register!$H$6:$H$40,MATCH(B350,Project_Register!$A$6:$A$40,0)))</f>
        <v/>
      </c>
      <c r="O350" s="0" t="str">
        <f aca="false">IF(B350="","",IF(D350="","No update",IF(AND(T350&lt;&gt;"Active",D350&lt;1),T350,IF(D350&gt;=1,"Complete",IF(OR(L350&lt;=SV_Red,M350&gt;Cost_Red,N350&gt;Slip_Red),"Red",IF(OR(L350&lt;=SV_Amber,M350&gt;Cost_Amber,N350&gt;Slip_Amber),"Amber","Green"))))))</f>
        <v/>
      </c>
      <c r="P350" s="0" t="str">
        <f aca="false">IF(AND(H350="Green",OR(O350="Amber",O350="Red")),"Watermelon","")</f>
        <v/>
      </c>
      <c r="Q350" s="0" t="str">
        <f aca="false">IF(B350="","",IF(J350="","Missing",IF(J350&gt;A350+UpdateDue,"Late","On time")))</f>
        <v/>
      </c>
      <c r="R350" s="0" t="str">
        <f aca="false">IF(OR(B350="",D350=""),"",IF(COUNTIFS($B$6:$B$400,B350,$A$6:$A$400,EOMONTH(A350,-1))=0,"",IF(D350&lt;SUMIFS($D$6:$D$400,$B$6:$B$400,B350,$A$6:$A$400,EOMONTH(A350,-1)),"Dropped","")))</f>
        <v/>
      </c>
      <c r="S350" s="41" t="str">
        <f aca="false">IF(B350="","",B350&amp;"|"&amp;(YEAR(A350)*100+MONTH(A350)))</f>
        <v/>
      </c>
    </row>
    <row r="351" customFormat="false" ht="15" hidden="false" customHeight="false" outlineLevel="0" collapsed="false">
      <c r="A351" s="37"/>
      <c r="C351" s="0" t="str">
        <f aca="false">IF(B351="","",IFERROR(INDEX(Project_Register!$B$6:$B$40,MATCH(B351,Project_Register!$A$6:$A$40,0)),"Unknown ID"))</f>
        <v/>
      </c>
      <c r="D351" s="38"/>
      <c r="E351" s="24"/>
      <c r="F351" s="24"/>
      <c r="G351" s="39"/>
      <c r="J351" s="39"/>
      <c r="K351" s="38" t="str">
        <f aca="false">IF(OR(B351="",T351="On Hold"),"",MAX(0,MIN(1,(A351-INDEX(Project_Register!$G$6:$G$40,MATCH(B351,Project_Register!$A$6:$A$40,0)))/(INDEX(Project_Register!$H$6:$H$40,MATCH(B351,Project_Register!$A$6:$A$40,0))-INDEX(Project_Register!$G$6:$G$40,MATCH(B351,Project_Register!$A$6:$A$40,0))))))</f>
        <v/>
      </c>
      <c r="L351" s="40" t="str">
        <f aca="false">IF(OR(B351="",D351="",T351="On Hold"),"",ROUND((D351-K351)*100,0))</f>
        <v/>
      </c>
      <c r="M351" s="38" t="str">
        <f aca="false">IF(OR(B351="",F351=""),"",F351/INDEX(Project_Register!$I$6:$I$40,MATCH(B351,Project_Register!$A$6:$A$40,0)))</f>
        <v/>
      </c>
      <c r="N351" s="40" t="str">
        <f aca="false">IF(OR(B351="",G351="",T351="On Hold"),"",G351-INDEX(Project_Register!$H$6:$H$40,MATCH(B351,Project_Register!$A$6:$A$40,0)))</f>
        <v/>
      </c>
      <c r="O351" s="0" t="str">
        <f aca="false">IF(B351="","",IF(D351="","No update",IF(AND(T351&lt;&gt;"Active",D351&lt;1),T351,IF(D351&gt;=1,"Complete",IF(OR(L351&lt;=SV_Red,M351&gt;Cost_Red,N351&gt;Slip_Red),"Red",IF(OR(L351&lt;=SV_Amber,M351&gt;Cost_Amber,N351&gt;Slip_Amber),"Amber","Green"))))))</f>
        <v/>
      </c>
      <c r="P351" s="0" t="str">
        <f aca="false">IF(AND(H351="Green",OR(O351="Amber",O351="Red")),"Watermelon","")</f>
        <v/>
      </c>
      <c r="Q351" s="0" t="str">
        <f aca="false">IF(B351="","",IF(J351="","Missing",IF(J351&gt;A351+UpdateDue,"Late","On time")))</f>
        <v/>
      </c>
      <c r="R351" s="0" t="str">
        <f aca="false">IF(OR(B351="",D351=""),"",IF(COUNTIFS($B$6:$B$400,B351,$A$6:$A$400,EOMONTH(A351,-1))=0,"",IF(D351&lt;SUMIFS($D$6:$D$400,$B$6:$B$400,B351,$A$6:$A$400,EOMONTH(A351,-1)),"Dropped","")))</f>
        <v/>
      </c>
      <c r="S351" s="41" t="str">
        <f aca="false">IF(B351="","",B351&amp;"|"&amp;(YEAR(A351)*100+MONTH(A351)))</f>
        <v/>
      </c>
    </row>
    <row r="352" customFormat="false" ht="15" hidden="false" customHeight="false" outlineLevel="0" collapsed="false">
      <c r="A352" s="37"/>
      <c r="C352" s="0" t="str">
        <f aca="false">IF(B352="","",IFERROR(INDEX(Project_Register!$B$6:$B$40,MATCH(B352,Project_Register!$A$6:$A$40,0)),"Unknown ID"))</f>
        <v/>
      </c>
      <c r="D352" s="38"/>
      <c r="E352" s="24"/>
      <c r="F352" s="24"/>
      <c r="G352" s="39"/>
      <c r="J352" s="39"/>
      <c r="K352" s="38" t="str">
        <f aca="false">IF(OR(B352="",T352="On Hold"),"",MAX(0,MIN(1,(A352-INDEX(Project_Register!$G$6:$G$40,MATCH(B352,Project_Register!$A$6:$A$40,0)))/(INDEX(Project_Register!$H$6:$H$40,MATCH(B352,Project_Register!$A$6:$A$40,0))-INDEX(Project_Register!$G$6:$G$40,MATCH(B352,Project_Register!$A$6:$A$40,0))))))</f>
        <v/>
      </c>
      <c r="L352" s="40" t="str">
        <f aca="false">IF(OR(B352="",D352="",T352="On Hold"),"",ROUND((D352-K352)*100,0))</f>
        <v/>
      </c>
      <c r="M352" s="38" t="str">
        <f aca="false">IF(OR(B352="",F352=""),"",F352/INDEX(Project_Register!$I$6:$I$40,MATCH(B352,Project_Register!$A$6:$A$40,0)))</f>
        <v/>
      </c>
      <c r="N352" s="40" t="str">
        <f aca="false">IF(OR(B352="",G352="",T352="On Hold"),"",G352-INDEX(Project_Register!$H$6:$H$40,MATCH(B352,Project_Register!$A$6:$A$40,0)))</f>
        <v/>
      </c>
      <c r="O352" s="0" t="str">
        <f aca="false">IF(B352="","",IF(D352="","No update",IF(AND(T352&lt;&gt;"Active",D352&lt;1),T352,IF(D352&gt;=1,"Complete",IF(OR(L352&lt;=SV_Red,M352&gt;Cost_Red,N352&gt;Slip_Red),"Red",IF(OR(L352&lt;=SV_Amber,M352&gt;Cost_Amber,N352&gt;Slip_Amber),"Amber","Green"))))))</f>
        <v/>
      </c>
      <c r="P352" s="0" t="str">
        <f aca="false">IF(AND(H352="Green",OR(O352="Amber",O352="Red")),"Watermelon","")</f>
        <v/>
      </c>
      <c r="Q352" s="0" t="str">
        <f aca="false">IF(B352="","",IF(J352="","Missing",IF(J352&gt;A352+UpdateDue,"Late","On time")))</f>
        <v/>
      </c>
      <c r="R352" s="0" t="str">
        <f aca="false">IF(OR(B352="",D352=""),"",IF(COUNTIFS($B$6:$B$400,B352,$A$6:$A$400,EOMONTH(A352,-1))=0,"",IF(D352&lt;SUMIFS($D$6:$D$400,$B$6:$B$400,B352,$A$6:$A$400,EOMONTH(A352,-1)),"Dropped","")))</f>
        <v/>
      </c>
      <c r="S352" s="41" t="str">
        <f aca="false">IF(B352="","",B352&amp;"|"&amp;(YEAR(A352)*100+MONTH(A352)))</f>
        <v/>
      </c>
    </row>
    <row r="353" customFormat="false" ht="15" hidden="false" customHeight="false" outlineLevel="0" collapsed="false">
      <c r="A353" s="37"/>
      <c r="C353" s="0" t="str">
        <f aca="false">IF(B353="","",IFERROR(INDEX(Project_Register!$B$6:$B$40,MATCH(B353,Project_Register!$A$6:$A$40,0)),"Unknown ID"))</f>
        <v/>
      </c>
      <c r="D353" s="38"/>
      <c r="E353" s="24"/>
      <c r="F353" s="24"/>
      <c r="G353" s="39"/>
      <c r="J353" s="39"/>
      <c r="K353" s="38" t="str">
        <f aca="false">IF(OR(B353="",T353="On Hold"),"",MAX(0,MIN(1,(A353-INDEX(Project_Register!$G$6:$G$40,MATCH(B353,Project_Register!$A$6:$A$40,0)))/(INDEX(Project_Register!$H$6:$H$40,MATCH(B353,Project_Register!$A$6:$A$40,0))-INDEX(Project_Register!$G$6:$G$40,MATCH(B353,Project_Register!$A$6:$A$40,0))))))</f>
        <v/>
      </c>
      <c r="L353" s="40" t="str">
        <f aca="false">IF(OR(B353="",D353="",T353="On Hold"),"",ROUND((D353-K353)*100,0))</f>
        <v/>
      </c>
      <c r="M353" s="38" t="str">
        <f aca="false">IF(OR(B353="",F353=""),"",F353/INDEX(Project_Register!$I$6:$I$40,MATCH(B353,Project_Register!$A$6:$A$40,0)))</f>
        <v/>
      </c>
      <c r="N353" s="40" t="str">
        <f aca="false">IF(OR(B353="",G353="",T353="On Hold"),"",G353-INDEX(Project_Register!$H$6:$H$40,MATCH(B353,Project_Register!$A$6:$A$40,0)))</f>
        <v/>
      </c>
      <c r="O353" s="0" t="str">
        <f aca="false">IF(B353="","",IF(D353="","No update",IF(AND(T353&lt;&gt;"Active",D353&lt;1),T353,IF(D353&gt;=1,"Complete",IF(OR(L353&lt;=SV_Red,M353&gt;Cost_Red,N353&gt;Slip_Red),"Red",IF(OR(L353&lt;=SV_Amber,M353&gt;Cost_Amber,N353&gt;Slip_Amber),"Amber","Green"))))))</f>
        <v/>
      </c>
      <c r="P353" s="0" t="str">
        <f aca="false">IF(AND(H353="Green",OR(O353="Amber",O353="Red")),"Watermelon","")</f>
        <v/>
      </c>
      <c r="Q353" s="0" t="str">
        <f aca="false">IF(B353="","",IF(J353="","Missing",IF(J353&gt;A353+UpdateDue,"Late","On time")))</f>
        <v/>
      </c>
      <c r="R353" s="0" t="str">
        <f aca="false">IF(OR(B353="",D353=""),"",IF(COUNTIFS($B$6:$B$400,B353,$A$6:$A$400,EOMONTH(A353,-1))=0,"",IF(D353&lt;SUMIFS($D$6:$D$400,$B$6:$B$400,B353,$A$6:$A$400,EOMONTH(A353,-1)),"Dropped","")))</f>
        <v/>
      </c>
      <c r="S353" s="41" t="str">
        <f aca="false">IF(B353="","",B353&amp;"|"&amp;(YEAR(A353)*100+MONTH(A353)))</f>
        <v/>
      </c>
    </row>
    <row r="354" customFormat="false" ht="15" hidden="false" customHeight="false" outlineLevel="0" collapsed="false">
      <c r="A354" s="37"/>
      <c r="C354" s="0" t="str">
        <f aca="false">IF(B354="","",IFERROR(INDEX(Project_Register!$B$6:$B$40,MATCH(B354,Project_Register!$A$6:$A$40,0)),"Unknown ID"))</f>
        <v/>
      </c>
      <c r="D354" s="38"/>
      <c r="E354" s="24"/>
      <c r="F354" s="24"/>
      <c r="G354" s="39"/>
      <c r="J354" s="39"/>
      <c r="K354" s="38" t="str">
        <f aca="false">IF(OR(B354="",T354="On Hold"),"",MAX(0,MIN(1,(A354-INDEX(Project_Register!$G$6:$G$40,MATCH(B354,Project_Register!$A$6:$A$40,0)))/(INDEX(Project_Register!$H$6:$H$40,MATCH(B354,Project_Register!$A$6:$A$40,0))-INDEX(Project_Register!$G$6:$G$40,MATCH(B354,Project_Register!$A$6:$A$40,0))))))</f>
        <v/>
      </c>
      <c r="L354" s="40" t="str">
        <f aca="false">IF(OR(B354="",D354="",T354="On Hold"),"",ROUND((D354-K354)*100,0))</f>
        <v/>
      </c>
      <c r="M354" s="38" t="str">
        <f aca="false">IF(OR(B354="",F354=""),"",F354/INDEX(Project_Register!$I$6:$I$40,MATCH(B354,Project_Register!$A$6:$A$40,0)))</f>
        <v/>
      </c>
      <c r="N354" s="40" t="str">
        <f aca="false">IF(OR(B354="",G354="",T354="On Hold"),"",G354-INDEX(Project_Register!$H$6:$H$40,MATCH(B354,Project_Register!$A$6:$A$40,0)))</f>
        <v/>
      </c>
      <c r="O354" s="0" t="str">
        <f aca="false">IF(B354="","",IF(D354="","No update",IF(AND(T354&lt;&gt;"Active",D354&lt;1),T354,IF(D354&gt;=1,"Complete",IF(OR(L354&lt;=SV_Red,M354&gt;Cost_Red,N354&gt;Slip_Red),"Red",IF(OR(L354&lt;=SV_Amber,M354&gt;Cost_Amber,N354&gt;Slip_Amber),"Amber","Green"))))))</f>
        <v/>
      </c>
      <c r="P354" s="0" t="str">
        <f aca="false">IF(AND(H354="Green",OR(O354="Amber",O354="Red")),"Watermelon","")</f>
        <v/>
      </c>
      <c r="Q354" s="0" t="str">
        <f aca="false">IF(B354="","",IF(J354="","Missing",IF(J354&gt;A354+UpdateDue,"Late","On time")))</f>
        <v/>
      </c>
      <c r="R354" s="0" t="str">
        <f aca="false">IF(OR(B354="",D354=""),"",IF(COUNTIFS($B$6:$B$400,B354,$A$6:$A$400,EOMONTH(A354,-1))=0,"",IF(D354&lt;SUMIFS($D$6:$D$400,$B$6:$B$400,B354,$A$6:$A$400,EOMONTH(A354,-1)),"Dropped","")))</f>
        <v/>
      </c>
      <c r="S354" s="41" t="str">
        <f aca="false">IF(B354="","",B354&amp;"|"&amp;(YEAR(A354)*100+MONTH(A354)))</f>
        <v/>
      </c>
    </row>
    <row r="355" customFormat="false" ht="15" hidden="false" customHeight="false" outlineLevel="0" collapsed="false">
      <c r="A355" s="37"/>
      <c r="C355" s="0" t="str">
        <f aca="false">IF(B355="","",IFERROR(INDEX(Project_Register!$B$6:$B$40,MATCH(B355,Project_Register!$A$6:$A$40,0)),"Unknown ID"))</f>
        <v/>
      </c>
      <c r="D355" s="38"/>
      <c r="E355" s="24"/>
      <c r="F355" s="24"/>
      <c r="G355" s="39"/>
      <c r="J355" s="39"/>
      <c r="K355" s="38" t="str">
        <f aca="false">IF(OR(B355="",T355="On Hold"),"",MAX(0,MIN(1,(A355-INDEX(Project_Register!$G$6:$G$40,MATCH(B355,Project_Register!$A$6:$A$40,0)))/(INDEX(Project_Register!$H$6:$H$40,MATCH(B355,Project_Register!$A$6:$A$40,0))-INDEX(Project_Register!$G$6:$G$40,MATCH(B355,Project_Register!$A$6:$A$40,0))))))</f>
        <v/>
      </c>
      <c r="L355" s="40" t="str">
        <f aca="false">IF(OR(B355="",D355="",T355="On Hold"),"",ROUND((D355-K355)*100,0))</f>
        <v/>
      </c>
      <c r="M355" s="38" t="str">
        <f aca="false">IF(OR(B355="",F355=""),"",F355/INDEX(Project_Register!$I$6:$I$40,MATCH(B355,Project_Register!$A$6:$A$40,0)))</f>
        <v/>
      </c>
      <c r="N355" s="40" t="str">
        <f aca="false">IF(OR(B355="",G355="",T355="On Hold"),"",G355-INDEX(Project_Register!$H$6:$H$40,MATCH(B355,Project_Register!$A$6:$A$40,0)))</f>
        <v/>
      </c>
      <c r="O355" s="0" t="str">
        <f aca="false">IF(B355="","",IF(D355="","No update",IF(AND(T355&lt;&gt;"Active",D355&lt;1),T355,IF(D355&gt;=1,"Complete",IF(OR(L355&lt;=SV_Red,M355&gt;Cost_Red,N355&gt;Slip_Red),"Red",IF(OR(L355&lt;=SV_Amber,M355&gt;Cost_Amber,N355&gt;Slip_Amber),"Amber","Green"))))))</f>
        <v/>
      </c>
      <c r="P355" s="0" t="str">
        <f aca="false">IF(AND(H355="Green",OR(O355="Amber",O355="Red")),"Watermelon","")</f>
        <v/>
      </c>
      <c r="Q355" s="0" t="str">
        <f aca="false">IF(B355="","",IF(J355="","Missing",IF(J355&gt;A355+UpdateDue,"Late","On time")))</f>
        <v/>
      </c>
      <c r="R355" s="0" t="str">
        <f aca="false">IF(OR(B355="",D355=""),"",IF(COUNTIFS($B$6:$B$400,B355,$A$6:$A$400,EOMONTH(A355,-1))=0,"",IF(D355&lt;SUMIFS($D$6:$D$400,$B$6:$B$400,B355,$A$6:$A$400,EOMONTH(A355,-1)),"Dropped","")))</f>
        <v/>
      </c>
      <c r="S355" s="41" t="str">
        <f aca="false">IF(B355="","",B355&amp;"|"&amp;(YEAR(A355)*100+MONTH(A355)))</f>
        <v/>
      </c>
    </row>
    <row r="356" customFormat="false" ht="15" hidden="false" customHeight="false" outlineLevel="0" collapsed="false">
      <c r="A356" s="37"/>
      <c r="C356" s="0" t="str">
        <f aca="false">IF(B356="","",IFERROR(INDEX(Project_Register!$B$6:$B$40,MATCH(B356,Project_Register!$A$6:$A$40,0)),"Unknown ID"))</f>
        <v/>
      </c>
      <c r="D356" s="38"/>
      <c r="E356" s="24"/>
      <c r="F356" s="24"/>
      <c r="G356" s="39"/>
      <c r="J356" s="39"/>
      <c r="K356" s="38" t="str">
        <f aca="false">IF(OR(B356="",T356="On Hold"),"",MAX(0,MIN(1,(A356-INDEX(Project_Register!$G$6:$G$40,MATCH(B356,Project_Register!$A$6:$A$40,0)))/(INDEX(Project_Register!$H$6:$H$40,MATCH(B356,Project_Register!$A$6:$A$40,0))-INDEX(Project_Register!$G$6:$G$40,MATCH(B356,Project_Register!$A$6:$A$40,0))))))</f>
        <v/>
      </c>
      <c r="L356" s="40" t="str">
        <f aca="false">IF(OR(B356="",D356="",T356="On Hold"),"",ROUND((D356-K356)*100,0))</f>
        <v/>
      </c>
      <c r="M356" s="38" t="str">
        <f aca="false">IF(OR(B356="",F356=""),"",F356/INDEX(Project_Register!$I$6:$I$40,MATCH(B356,Project_Register!$A$6:$A$40,0)))</f>
        <v/>
      </c>
      <c r="N356" s="40" t="str">
        <f aca="false">IF(OR(B356="",G356="",T356="On Hold"),"",G356-INDEX(Project_Register!$H$6:$H$40,MATCH(B356,Project_Register!$A$6:$A$40,0)))</f>
        <v/>
      </c>
      <c r="O356" s="0" t="str">
        <f aca="false">IF(B356="","",IF(D356="","No update",IF(AND(T356&lt;&gt;"Active",D356&lt;1),T356,IF(D356&gt;=1,"Complete",IF(OR(L356&lt;=SV_Red,M356&gt;Cost_Red,N356&gt;Slip_Red),"Red",IF(OR(L356&lt;=SV_Amber,M356&gt;Cost_Amber,N356&gt;Slip_Amber),"Amber","Green"))))))</f>
        <v/>
      </c>
      <c r="P356" s="0" t="str">
        <f aca="false">IF(AND(H356="Green",OR(O356="Amber",O356="Red")),"Watermelon","")</f>
        <v/>
      </c>
      <c r="Q356" s="0" t="str">
        <f aca="false">IF(B356="","",IF(J356="","Missing",IF(J356&gt;A356+UpdateDue,"Late","On time")))</f>
        <v/>
      </c>
      <c r="R356" s="0" t="str">
        <f aca="false">IF(OR(B356="",D356=""),"",IF(COUNTIFS($B$6:$B$400,B356,$A$6:$A$400,EOMONTH(A356,-1))=0,"",IF(D356&lt;SUMIFS($D$6:$D$400,$B$6:$B$400,B356,$A$6:$A$400,EOMONTH(A356,-1)),"Dropped","")))</f>
        <v/>
      </c>
      <c r="S356" s="41" t="str">
        <f aca="false">IF(B356="","",B356&amp;"|"&amp;(YEAR(A356)*100+MONTH(A356)))</f>
        <v/>
      </c>
    </row>
    <row r="357" customFormat="false" ht="15" hidden="false" customHeight="false" outlineLevel="0" collapsed="false">
      <c r="A357" s="37"/>
      <c r="C357" s="0" t="str">
        <f aca="false">IF(B357="","",IFERROR(INDEX(Project_Register!$B$6:$B$40,MATCH(B357,Project_Register!$A$6:$A$40,0)),"Unknown ID"))</f>
        <v/>
      </c>
      <c r="D357" s="38"/>
      <c r="E357" s="24"/>
      <c r="F357" s="24"/>
      <c r="G357" s="39"/>
      <c r="J357" s="39"/>
      <c r="K357" s="38" t="str">
        <f aca="false">IF(OR(B357="",T357="On Hold"),"",MAX(0,MIN(1,(A357-INDEX(Project_Register!$G$6:$G$40,MATCH(B357,Project_Register!$A$6:$A$40,0)))/(INDEX(Project_Register!$H$6:$H$40,MATCH(B357,Project_Register!$A$6:$A$40,0))-INDEX(Project_Register!$G$6:$G$40,MATCH(B357,Project_Register!$A$6:$A$40,0))))))</f>
        <v/>
      </c>
      <c r="L357" s="40" t="str">
        <f aca="false">IF(OR(B357="",D357="",T357="On Hold"),"",ROUND((D357-K357)*100,0))</f>
        <v/>
      </c>
      <c r="M357" s="38" t="str">
        <f aca="false">IF(OR(B357="",F357=""),"",F357/INDEX(Project_Register!$I$6:$I$40,MATCH(B357,Project_Register!$A$6:$A$40,0)))</f>
        <v/>
      </c>
      <c r="N357" s="40" t="str">
        <f aca="false">IF(OR(B357="",G357="",T357="On Hold"),"",G357-INDEX(Project_Register!$H$6:$H$40,MATCH(B357,Project_Register!$A$6:$A$40,0)))</f>
        <v/>
      </c>
      <c r="O357" s="0" t="str">
        <f aca="false">IF(B357="","",IF(D357="","No update",IF(AND(T357&lt;&gt;"Active",D357&lt;1),T357,IF(D357&gt;=1,"Complete",IF(OR(L357&lt;=SV_Red,M357&gt;Cost_Red,N357&gt;Slip_Red),"Red",IF(OR(L357&lt;=SV_Amber,M357&gt;Cost_Amber,N357&gt;Slip_Amber),"Amber","Green"))))))</f>
        <v/>
      </c>
      <c r="P357" s="0" t="str">
        <f aca="false">IF(AND(H357="Green",OR(O357="Amber",O357="Red")),"Watermelon","")</f>
        <v/>
      </c>
      <c r="Q357" s="0" t="str">
        <f aca="false">IF(B357="","",IF(J357="","Missing",IF(J357&gt;A357+UpdateDue,"Late","On time")))</f>
        <v/>
      </c>
      <c r="R357" s="0" t="str">
        <f aca="false">IF(OR(B357="",D357=""),"",IF(COUNTIFS($B$6:$B$400,B357,$A$6:$A$400,EOMONTH(A357,-1))=0,"",IF(D357&lt;SUMIFS($D$6:$D$400,$B$6:$B$400,B357,$A$6:$A$400,EOMONTH(A357,-1)),"Dropped","")))</f>
        <v/>
      </c>
      <c r="S357" s="41" t="str">
        <f aca="false">IF(B357="","",B357&amp;"|"&amp;(YEAR(A357)*100+MONTH(A357)))</f>
        <v/>
      </c>
    </row>
    <row r="358" customFormat="false" ht="15" hidden="false" customHeight="false" outlineLevel="0" collapsed="false">
      <c r="A358" s="37"/>
      <c r="C358" s="0" t="str">
        <f aca="false">IF(B358="","",IFERROR(INDEX(Project_Register!$B$6:$B$40,MATCH(B358,Project_Register!$A$6:$A$40,0)),"Unknown ID"))</f>
        <v/>
      </c>
      <c r="D358" s="38"/>
      <c r="E358" s="24"/>
      <c r="F358" s="24"/>
      <c r="G358" s="39"/>
      <c r="J358" s="39"/>
      <c r="K358" s="38" t="str">
        <f aca="false">IF(OR(B358="",T358="On Hold"),"",MAX(0,MIN(1,(A358-INDEX(Project_Register!$G$6:$G$40,MATCH(B358,Project_Register!$A$6:$A$40,0)))/(INDEX(Project_Register!$H$6:$H$40,MATCH(B358,Project_Register!$A$6:$A$40,0))-INDEX(Project_Register!$G$6:$G$40,MATCH(B358,Project_Register!$A$6:$A$40,0))))))</f>
        <v/>
      </c>
      <c r="L358" s="40" t="str">
        <f aca="false">IF(OR(B358="",D358="",T358="On Hold"),"",ROUND((D358-K358)*100,0))</f>
        <v/>
      </c>
      <c r="M358" s="38" t="str">
        <f aca="false">IF(OR(B358="",F358=""),"",F358/INDEX(Project_Register!$I$6:$I$40,MATCH(B358,Project_Register!$A$6:$A$40,0)))</f>
        <v/>
      </c>
      <c r="N358" s="40" t="str">
        <f aca="false">IF(OR(B358="",G358="",T358="On Hold"),"",G358-INDEX(Project_Register!$H$6:$H$40,MATCH(B358,Project_Register!$A$6:$A$40,0)))</f>
        <v/>
      </c>
      <c r="O358" s="0" t="str">
        <f aca="false">IF(B358="","",IF(D358="","No update",IF(AND(T358&lt;&gt;"Active",D358&lt;1),T358,IF(D358&gt;=1,"Complete",IF(OR(L358&lt;=SV_Red,M358&gt;Cost_Red,N358&gt;Slip_Red),"Red",IF(OR(L358&lt;=SV_Amber,M358&gt;Cost_Amber,N358&gt;Slip_Amber),"Amber","Green"))))))</f>
        <v/>
      </c>
      <c r="P358" s="0" t="str">
        <f aca="false">IF(AND(H358="Green",OR(O358="Amber",O358="Red")),"Watermelon","")</f>
        <v/>
      </c>
      <c r="Q358" s="0" t="str">
        <f aca="false">IF(B358="","",IF(J358="","Missing",IF(J358&gt;A358+UpdateDue,"Late","On time")))</f>
        <v/>
      </c>
      <c r="R358" s="0" t="str">
        <f aca="false">IF(OR(B358="",D358=""),"",IF(COUNTIFS($B$6:$B$400,B358,$A$6:$A$400,EOMONTH(A358,-1))=0,"",IF(D358&lt;SUMIFS($D$6:$D$400,$B$6:$B$400,B358,$A$6:$A$400,EOMONTH(A358,-1)),"Dropped","")))</f>
        <v/>
      </c>
      <c r="S358" s="41" t="str">
        <f aca="false">IF(B358="","",B358&amp;"|"&amp;(YEAR(A358)*100+MONTH(A358)))</f>
        <v/>
      </c>
    </row>
    <row r="359" customFormat="false" ht="15" hidden="false" customHeight="false" outlineLevel="0" collapsed="false">
      <c r="A359" s="37"/>
      <c r="C359" s="0" t="str">
        <f aca="false">IF(B359="","",IFERROR(INDEX(Project_Register!$B$6:$B$40,MATCH(B359,Project_Register!$A$6:$A$40,0)),"Unknown ID"))</f>
        <v/>
      </c>
      <c r="D359" s="38"/>
      <c r="E359" s="24"/>
      <c r="F359" s="24"/>
      <c r="G359" s="39"/>
      <c r="J359" s="39"/>
      <c r="K359" s="38" t="str">
        <f aca="false">IF(OR(B359="",T359="On Hold"),"",MAX(0,MIN(1,(A359-INDEX(Project_Register!$G$6:$G$40,MATCH(B359,Project_Register!$A$6:$A$40,0)))/(INDEX(Project_Register!$H$6:$H$40,MATCH(B359,Project_Register!$A$6:$A$40,0))-INDEX(Project_Register!$G$6:$G$40,MATCH(B359,Project_Register!$A$6:$A$40,0))))))</f>
        <v/>
      </c>
      <c r="L359" s="40" t="str">
        <f aca="false">IF(OR(B359="",D359="",T359="On Hold"),"",ROUND((D359-K359)*100,0))</f>
        <v/>
      </c>
      <c r="M359" s="38" t="str">
        <f aca="false">IF(OR(B359="",F359=""),"",F359/INDEX(Project_Register!$I$6:$I$40,MATCH(B359,Project_Register!$A$6:$A$40,0)))</f>
        <v/>
      </c>
      <c r="N359" s="40" t="str">
        <f aca="false">IF(OR(B359="",G359="",T359="On Hold"),"",G359-INDEX(Project_Register!$H$6:$H$40,MATCH(B359,Project_Register!$A$6:$A$40,0)))</f>
        <v/>
      </c>
      <c r="O359" s="0" t="str">
        <f aca="false">IF(B359="","",IF(D359="","No update",IF(AND(T359&lt;&gt;"Active",D359&lt;1),T359,IF(D359&gt;=1,"Complete",IF(OR(L359&lt;=SV_Red,M359&gt;Cost_Red,N359&gt;Slip_Red),"Red",IF(OR(L359&lt;=SV_Amber,M359&gt;Cost_Amber,N359&gt;Slip_Amber),"Amber","Green"))))))</f>
        <v/>
      </c>
      <c r="P359" s="0" t="str">
        <f aca="false">IF(AND(H359="Green",OR(O359="Amber",O359="Red")),"Watermelon","")</f>
        <v/>
      </c>
      <c r="Q359" s="0" t="str">
        <f aca="false">IF(B359="","",IF(J359="","Missing",IF(J359&gt;A359+UpdateDue,"Late","On time")))</f>
        <v/>
      </c>
      <c r="R359" s="0" t="str">
        <f aca="false">IF(OR(B359="",D359=""),"",IF(COUNTIFS($B$6:$B$400,B359,$A$6:$A$400,EOMONTH(A359,-1))=0,"",IF(D359&lt;SUMIFS($D$6:$D$400,$B$6:$B$400,B359,$A$6:$A$400,EOMONTH(A359,-1)),"Dropped","")))</f>
        <v/>
      </c>
      <c r="S359" s="41" t="str">
        <f aca="false">IF(B359="","",B359&amp;"|"&amp;(YEAR(A359)*100+MONTH(A359)))</f>
        <v/>
      </c>
    </row>
    <row r="360" customFormat="false" ht="15" hidden="false" customHeight="false" outlineLevel="0" collapsed="false">
      <c r="A360" s="37"/>
      <c r="C360" s="0" t="str">
        <f aca="false">IF(B360="","",IFERROR(INDEX(Project_Register!$B$6:$B$40,MATCH(B360,Project_Register!$A$6:$A$40,0)),"Unknown ID"))</f>
        <v/>
      </c>
      <c r="D360" s="38"/>
      <c r="E360" s="24"/>
      <c r="F360" s="24"/>
      <c r="G360" s="39"/>
      <c r="J360" s="39"/>
      <c r="K360" s="38" t="str">
        <f aca="false">IF(OR(B360="",T360="On Hold"),"",MAX(0,MIN(1,(A360-INDEX(Project_Register!$G$6:$G$40,MATCH(B360,Project_Register!$A$6:$A$40,0)))/(INDEX(Project_Register!$H$6:$H$40,MATCH(B360,Project_Register!$A$6:$A$40,0))-INDEX(Project_Register!$G$6:$G$40,MATCH(B360,Project_Register!$A$6:$A$40,0))))))</f>
        <v/>
      </c>
      <c r="L360" s="40" t="str">
        <f aca="false">IF(OR(B360="",D360="",T360="On Hold"),"",ROUND((D360-K360)*100,0))</f>
        <v/>
      </c>
      <c r="M360" s="38" t="str">
        <f aca="false">IF(OR(B360="",F360=""),"",F360/INDEX(Project_Register!$I$6:$I$40,MATCH(B360,Project_Register!$A$6:$A$40,0)))</f>
        <v/>
      </c>
      <c r="N360" s="40" t="str">
        <f aca="false">IF(OR(B360="",G360="",T360="On Hold"),"",G360-INDEX(Project_Register!$H$6:$H$40,MATCH(B360,Project_Register!$A$6:$A$40,0)))</f>
        <v/>
      </c>
      <c r="O360" s="0" t="str">
        <f aca="false">IF(B360="","",IF(D360="","No update",IF(AND(T360&lt;&gt;"Active",D360&lt;1),T360,IF(D360&gt;=1,"Complete",IF(OR(L360&lt;=SV_Red,M360&gt;Cost_Red,N360&gt;Slip_Red),"Red",IF(OR(L360&lt;=SV_Amber,M360&gt;Cost_Amber,N360&gt;Slip_Amber),"Amber","Green"))))))</f>
        <v/>
      </c>
      <c r="P360" s="0" t="str">
        <f aca="false">IF(AND(H360="Green",OR(O360="Amber",O360="Red")),"Watermelon","")</f>
        <v/>
      </c>
      <c r="Q360" s="0" t="str">
        <f aca="false">IF(B360="","",IF(J360="","Missing",IF(J360&gt;A360+UpdateDue,"Late","On time")))</f>
        <v/>
      </c>
      <c r="R360" s="0" t="str">
        <f aca="false">IF(OR(B360="",D360=""),"",IF(COUNTIFS($B$6:$B$400,B360,$A$6:$A$400,EOMONTH(A360,-1))=0,"",IF(D360&lt;SUMIFS($D$6:$D$400,$B$6:$B$400,B360,$A$6:$A$400,EOMONTH(A360,-1)),"Dropped","")))</f>
        <v/>
      </c>
      <c r="S360" s="41" t="str">
        <f aca="false">IF(B360="","",B360&amp;"|"&amp;(YEAR(A360)*100+MONTH(A360)))</f>
        <v/>
      </c>
    </row>
    <row r="361" customFormat="false" ht="15" hidden="false" customHeight="false" outlineLevel="0" collapsed="false">
      <c r="A361" s="37"/>
      <c r="C361" s="0" t="str">
        <f aca="false">IF(B361="","",IFERROR(INDEX(Project_Register!$B$6:$B$40,MATCH(B361,Project_Register!$A$6:$A$40,0)),"Unknown ID"))</f>
        <v/>
      </c>
      <c r="D361" s="38"/>
      <c r="E361" s="24"/>
      <c r="F361" s="24"/>
      <c r="G361" s="39"/>
      <c r="J361" s="39"/>
      <c r="K361" s="38" t="str">
        <f aca="false">IF(OR(B361="",T361="On Hold"),"",MAX(0,MIN(1,(A361-INDEX(Project_Register!$G$6:$G$40,MATCH(B361,Project_Register!$A$6:$A$40,0)))/(INDEX(Project_Register!$H$6:$H$40,MATCH(B361,Project_Register!$A$6:$A$40,0))-INDEX(Project_Register!$G$6:$G$40,MATCH(B361,Project_Register!$A$6:$A$40,0))))))</f>
        <v/>
      </c>
      <c r="L361" s="40" t="str">
        <f aca="false">IF(OR(B361="",D361="",T361="On Hold"),"",ROUND((D361-K361)*100,0))</f>
        <v/>
      </c>
      <c r="M361" s="38" t="str">
        <f aca="false">IF(OR(B361="",F361=""),"",F361/INDEX(Project_Register!$I$6:$I$40,MATCH(B361,Project_Register!$A$6:$A$40,0)))</f>
        <v/>
      </c>
      <c r="N361" s="40" t="str">
        <f aca="false">IF(OR(B361="",G361="",T361="On Hold"),"",G361-INDEX(Project_Register!$H$6:$H$40,MATCH(B361,Project_Register!$A$6:$A$40,0)))</f>
        <v/>
      </c>
      <c r="O361" s="0" t="str">
        <f aca="false">IF(B361="","",IF(D361="","No update",IF(AND(T361&lt;&gt;"Active",D361&lt;1),T361,IF(D361&gt;=1,"Complete",IF(OR(L361&lt;=SV_Red,M361&gt;Cost_Red,N361&gt;Slip_Red),"Red",IF(OR(L361&lt;=SV_Amber,M361&gt;Cost_Amber,N361&gt;Slip_Amber),"Amber","Green"))))))</f>
        <v/>
      </c>
      <c r="P361" s="0" t="str">
        <f aca="false">IF(AND(H361="Green",OR(O361="Amber",O361="Red")),"Watermelon","")</f>
        <v/>
      </c>
      <c r="Q361" s="0" t="str">
        <f aca="false">IF(B361="","",IF(J361="","Missing",IF(J361&gt;A361+UpdateDue,"Late","On time")))</f>
        <v/>
      </c>
      <c r="R361" s="0" t="str">
        <f aca="false">IF(OR(B361="",D361=""),"",IF(COUNTIFS($B$6:$B$400,B361,$A$6:$A$400,EOMONTH(A361,-1))=0,"",IF(D361&lt;SUMIFS($D$6:$D$400,$B$6:$B$400,B361,$A$6:$A$400,EOMONTH(A361,-1)),"Dropped","")))</f>
        <v/>
      </c>
      <c r="S361" s="41" t="str">
        <f aca="false">IF(B361="","",B361&amp;"|"&amp;(YEAR(A361)*100+MONTH(A361)))</f>
        <v/>
      </c>
    </row>
    <row r="362" customFormat="false" ht="15" hidden="false" customHeight="false" outlineLevel="0" collapsed="false">
      <c r="A362" s="37"/>
      <c r="C362" s="0" t="str">
        <f aca="false">IF(B362="","",IFERROR(INDEX(Project_Register!$B$6:$B$40,MATCH(B362,Project_Register!$A$6:$A$40,0)),"Unknown ID"))</f>
        <v/>
      </c>
      <c r="D362" s="38"/>
      <c r="E362" s="24"/>
      <c r="F362" s="24"/>
      <c r="G362" s="39"/>
      <c r="J362" s="39"/>
      <c r="K362" s="38" t="str">
        <f aca="false">IF(OR(B362="",T362="On Hold"),"",MAX(0,MIN(1,(A362-INDEX(Project_Register!$G$6:$G$40,MATCH(B362,Project_Register!$A$6:$A$40,0)))/(INDEX(Project_Register!$H$6:$H$40,MATCH(B362,Project_Register!$A$6:$A$40,0))-INDEX(Project_Register!$G$6:$G$40,MATCH(B362,Project_Register!$A$6:$A$40,0))))))</f>
        <v/>
      </c>
      <c r="L362" s="40" t="str">
        <f aca="false">IF(OR(B362="",D362="",T362="On Hold"),"",ROUND((D362-K362)*100,0))</f>
        <v/>
      </c>
      <c r="M362" s="38" t="str">
        <f aca="false">IF(OR(B362="",F362=""),"",F362/INDEX(Project_Register!$I$6:$I$40,MATCH(B362,Project_Register!$A$6:$A$40,0)))</f>
        <v/>
      </c>
      <c r="N362" s="40" t="str">
        <f aca="false">IF(OR(B362="",G362="",T362="On Hold"),"",G362-INDEX(Project_Register!$H$6:$H$40,MATCH(B362,Project_Register!$A$6:$A$40,0)))</f>
        <v/>
      </c>
      <c r="O362" s="0" t="str">
        <f aca="false">IF(B362="","",IF(D362="","No update",IF(AND(T362&lt;&gt;"Active",D362&lt;1),T362,IF(D362&gt;=1,"Complete",IF(OR(L362&lt;=SV_Red,M362&gt;Cost_Red,N362&gt;Slip_Red),"Red",IF(OR(L362&lt;=SV_Amber,M362&gt;Cost_Amber,N362&gt;Slip_Amber),"Amber","Green"))))))</f>
        <v/>
      </c>
      <c r="P362" s="0" t="str">
        <f aca="false">IF(AND(H362="Green",OR(O362="Amber",O362="Red")),"Watermelon","")</f>
        <v/>
      </c>
      <c r="Q362" s="0" t="str">
        <f aca="false">IF(B362="","",IF(J362="","Missing",IF(J362&gt;A362+UpdateDue,"Late","On time")))</f>
        <v/>
      </c>
      <c r="R362" s="0" t="str">
        <f aca="false">IF(OR(B362="",D362=""),"",IF(COUNTIFS($B$6:$B$400,B362,$A$6:$A$400,EOMONTH(A362,-1))=0,"",IF(D362&lt;SUMIFS($D$6:$D$400,$B$6:$B$400,B362,$A$6:$A$400,EOMONTH(A362,-1)),"Dropped","")))</f>
        <v/>
      </c>
      <c r="S362" s="41" t="str">
        <f aca="false">IF(B362="","",B362&amp;"|"&amp;(YEAR(A362)*100+MONTH(A362)))</f>
        <v/>
      </c>
    </row>
    <row r="363" customFormat="false" ht="15" hidden="false" customHeight="false" outlineLevel="0" collapsed="false">
      <c r="A363" s="37"/>
      <c r="C363" s="0" t="str">
        <f aca="false">IF(B363="","",IFERROR(INDEX(Project_Register!$B$6:$B$40,MATCH(B363,Project_Register!$A$6:$A$40,0)),"Unknown ID"))</f>
        <v/>
      </c>
      <c r="D363" s="38"/>
      <c r="E363" s="24"/>
      <c r="F363" s="24"/>
      <c r="G363" s="39"/>
      <c r="J363" s="39"/>
      <c r="K363" s="38" t="str">
        <f aca="false">IF(OR(B363="",T363="On Hold"),"",MAX(0,MIN(1,(A363-INDEX(Project_Register!$G$6:$G$40,MATCH(B363,Project_Register!$A$6:$A$40,0)))/(INDEX(Project_Register!$H$6:$H$40,MATCH(B363,Project_Register!$A$6:$A$40,0))-INDEX(Project_Register!$G$6:$G$40,MATCH(B363,Project_Register!$A$6:$A$40,0))))))</f>
        <v/>
      </c>
      <c r="L363" s="40" t="str">
        <f aca="false">IF(OR(B363="",D363="",T363="On Hold"),"",ROUND((D363-K363)*100,0))</f>
        <v/>
      </c>
      <c r="M363" s="38" t="str">
        <f aca="false">IF(OR(B363="",F363=""),"",F363/INDEX(Project_Register!$I$6:$I$40,MATCH(B363,Project_Register!$A$6:$A$40,0)))</f>
        <v/>
      </c>
      <c r="N363" s="40" t="str">
        <f aca="false">IF(OR(B363="",G363="",T363="On Hold"),"",G363-INDEX(Project_Register!$H$6:$H$40,MATCH(B363,Project_Register!$A$6:$A$40,0)))</f>
        <v/>
      </c>
      <c r="O363" s="0" t="str">
        <f aca="false">IF(B363="","",IF(D363="","No update",IF(AND(T363&lt;&gt;"Active",D363&lt;1),T363,IF(D363&gt;=1,"Complete",IF(OR(L363&lt;=SV_Red,M363&gt;Cost_Red,N363&gt;Slip_Red),"Red",IF(OR(L363&lt;=SV_Amber,M363&gt;Cost_Amber,N363&gt;Slip_Amber),"Amber","Green"))))))</f>
        <v/>
      </c>
      <c r="P363" s="0" t="str">
        <f aca="false">IF(AND(H363="Green",OR(O363="Amber",O363="Red")),"Watermelon","")</f>
        <v/>
      </c>
      <c r="Q363" s="0" t="str">
        <f aca="false">IF(B363="","",IF(J363="","Missing",IF(J363&gt;A363+UpdateDue,"Late","On time")))</f>
        <v/>
      </c>
      <c r="R363" s="0" t="str">
        <f aca="false">IF(OR(B363="",D363=""),"",IF(COUNTIFS($B$6:$B$400,B363,$A$6:$A$400,EOMONTH(A363,-1))=0,"",IF(D363&lt;SUMIFS($D$6:$D$400,$B$6:$B$400,B363,$A$6:$A$400,EOMONTH(A363,-1)),"Dropped","")))</f>
        <v/>
      </c>
      <c r="S363" s="41" t="str">
        <f aca="false">IF(B363="","",B363&amp;"|"&amp;(YEAR(A363)*100+MONTH(A363)))</f>
        <v/>
      </c>
    </row>
    <row r="364" customFormat="false" ht="15" hidden="false" customHeight="false" outlineLevel="0" collapsed="false">
      <c r="A364" s="37"/>
      <c r="C364" s="0" t="str">
        <f aca="false">IF(B364="","",IFERROR(INDEX(Project_Register!$B$6:$B$40,MATCH(B364,Project_Register!$A$6:$A$40,0)),"Unknown ID"))</f>
        <v/>
      </c>
      <c r="D364" s="38"/>
      <c r="E364" s="24"/>
      <c r="F364" s="24"/>
      <c r="G364" s="39"/>
      <c r="J364" s="39"/>
      <c r="K364" s="38" t="str">
        <f aca="false">IF(OR(B364="",T364="On Hold"),"",MAX(0,MIN(1,(A364-INDEX(Project_Register!$G$6:$G$40,MATCH(B364,Project_Register!$A$6:$A$40,0)))/(INDEX(Project_Register!$H$6:$H$40,MATCH(B364,Project_Register!$A$6:$A$40,0))-INDEX(Project_Register!$G$6:$G$40,MATCH(B364,Project_Register!$A$6:$A$40,0))))))</f>
        <v/>
      </c>
      <c r="L364" s="40" t="str">
        <f aca="false">IF(OR(B364="",D364="",T364="On Hold"),"",ROUND((D364-K364)*100,0))</f>
        <v/>
      </c>
      <c r="M364" s="38" t="str">
        <f aca="false">IF(OR(B364="",F364=""),"",F364/INDEX(Project_Register!$I$6:$I$40,MATCH(B364,Project_Register!$A$6:$A$40,0)))</f>
        <v/>
      </c>
      <c r="N364" s="40" t="str">
        <f aca="false">IF(OR(B364="",G364="",T364="On Hold"),"",G364-INDEX(Project_Register!$H$6:$H$40,MATCH(B364,Project_Register!$A$6:$A$40,0)))</f>
        <v/>
      </c>
      <c r="O364" s="0" t="str">
        <f aca="false">IF(B364="","",IF(D364="","No update",IF(AND(T364&lt;&gt;"Active",D364&lt;1),T364,IF(D364&gt;=1,"Complete",IF(OR(L364&lt;=SV_Red,M364&gt;Cost_Red,N364&gt;Slip_Red),"Red",IF(OR(L364&lt;=SV_Amber,M364&gt;Cost_Amber,N364&gt;Slip_Amber),"Amber","Green"))))))</f>
        <v/>
      </c>
      <c r="P364" s="0" t="str">
        <f aca="false">IF(AND(H364="Green",OR(O364="Amber",O364="Red")),"Watermelon","")</f>
        <v/>
      </c>
      <c r="Q364" s="0" t="str">
        <f aca="false">IF(B364="","",IF(J364="","Missing",IF(J364&gt;A364+UpdateDue,"Late","On time")))</f>
        <v/>
      </c>
      <c r="R364" s="0" t="str">
        <f aca="false">IF(OR(B364="",D364=""),"",IF(COUNTIFS($B$6:$B$400,B364,$A$6:$A$400,EOMONTH(A364,-1))=0,"",IF(D364&lt;SUMIFS($D$6:$D$400,$B$6:$B$400,B364,$A$6:$A$400,EOMONTH(A364,-1)),"Dropped","")))</f>
        <v/>
      </c>
      <c r="S364" s="41" t="str">
        <f aca="false">IF(B364="","",B364&amp;"|"&amp;(YEAR(A364)*100+MONTH(A364)))</f>
        <v/>
      </c>
    </row>
    <row r="365" customFormat="false" ht="15" hidden="false" customHeight="false" outlineLevel="0" collapsed="false">
      <c r="A365" s="37"/>
      <c r="C365" s="0" t="str">
        <f aca="false">IF(B365="","",IFERROR(INDEX(Project_Register!$B$6:$B$40,MATCH(B365,Project_Register!$A$6:$A$40,0)),"Unknown ID"))</f>
        <v/>
      </c>
      <c r="D365" s="38"/>
      <c r="E365" s="24"/>
      <c r="F365" s="24"/>
      <c r="G365" s="39"/>
      <c r="J365" s="39"/>
      <c r="K365" s="38" t="str">
        <f aca="false">IF(OR(B365="",T365="On Hold"),"",MAX(0,MIN(1,(A365-INDEX(Project_Register!$G$6:$G$40,MATCH(B365,Project_Register!$A$6:$A$40,0)))/(INDEX(Project_Register!$H$6:$H$40,MATCH(B365,Project_Register!$A$6:$A$40,0))-INDEX(Project_Register!$G$6:$G$40,MATCH(B365,Project_Register!$A$6:$A$40,0))))))</f>
        <v/>
      </c>
      <c r="L365" s="40" t="str">
        <f aca="false">IF(OR(B365="",D365="",T365="On Hold"),"",ROUND((D365-K365)*100,0))</f>
        <v/>
      </c>
      <c r="M365" s="38" t="str">
        <f aca="false">IF(OR(B365="",F365=""),"",F365/INDEX(Project_Register!$I$6:$I$40,MATCH(B365,Project_Register!$A$6:$A$40,0)))</f>
        <v/>
      </c>
      <c r="N365" s="40" t="str">
        <f aca="false">IF(OR(B365="",G365="",T365="On Hold"),"",G365-INDEX(Project_Register!$H$6:$H$40,MATCH(B365,Project_Register!$A$6:$A$40,0)))</f>
        <v/>
      </c>
      <c r="O365" s="0" t="str">
        <f aca="false">IF(B365="","",IF(D365="","No update",IF(AND(T365&lt;&gt;"Active",D365&lt;1),T365,IF(D365&gt;=1,"Complete",IF(OR(L365&lt;=SV_Red,M365&gt;Cost_Red,N365&gt;Slip_Red),"Red",IF(OR(L365&lt;=SV_Amber,M365&gt;Cost_Amber,N365&gt;Slip_Amber),"Amber","Green"))))))</f>
        <v/>
      </c>
      <c r="P365" s="0" t="str">
        <f aca="false">IF(AND(H365="Green",OR(O365="Amber",O365="Red")),"Watermelon","")</f>
        <v/>
      </c>
      <c r="Q365" s="0" t="str">
        <f aca="false">IF(B365="","",IF(J365="","Missing",IF(J365&gt;A365+UpdateDue,"Late","On time")))</f>
        <v/>
      </c>
      <c r="R365" s="0" t="str">
        <f aca="false">IF(OR(B365="",D365=""),"",IF(COUNTIFS($B$6:$B$400,B365,$A$6:$A$400,EOMONTH(A365,-1))=0,"",IF(D365&lt;SUMIFS($D$6:$D$400,$B$6:$B$400,B365,$A$6:$A$400,EOMONTH(A365,-1)),"Dropped","")))</f>
        <v/>
      </c>
      <c r="S365" s="41" t="str">
        <f aca="false">IF(B365="","",B365&amp;"|"&amp;(YEAR(A365)*100+MONTH(A365)))</f>
        <v/>
      </c>
    </row>
    <row r="366" customFormat="false" ht="15" hidden="false" customHeight="false" outlineLevel="0" collapsed="false">
      <c r="A366" s="37"/>
      <c r="C366" s="0" t="str">
        <f aca="false">IF(B366="","",IFERROR(INDEX(Project_Register!$B$6:$B$40,MATCH(B366,Project_Register!$A$6:$A$40,0)),"Unknown ID"))</f>
        <v/>
      </c>
      <c r="D366" s="38"/>
      <c r="E366" s="24"/>
      <c r="F366" s="24"/>
      <c r="G366" s="39"/>
      <c r="J366" s="39"/>
      <c r="K366" s="38" t="str">
        <f aca="false">IF(OR(B366="",T366="On Hold"),"",MAX(0,MIN(1,(A366-INDEX(Project_Register!$G$6:$G$40,MATCH(B366,Project_Register!$A$6:$A$40,0)))/(INDEX(Project_Register!$H$6:$H$40,MATCH(B366,Project_Register!$A$6:$A$40,0))-INDEX(Project_Register!$G$6:$G$40,MATCH(B366,Project_Register!$A$6:$A$40,0))))))</f>
        <v/>
      </c>
      <c r="L366" s="40" t="str">
        <f aca="false">IF(OR(B366="",D366="",T366="On Hold"),"",ROUND((D366-K366)*100,0))</f>
        <v/>
      </c>
      <c r="M366" s="38" t="str">
        <f aca="false">IF(OR(B366="",F366=""),"",F366/INDEX(Project_Register!$I$6:$I$40,MATCH(B366,Project_Register!$A$6:$A$40,0)))</f>
        <v/>
      </c>
      <c r="N366" s="40" t="str">
        <f aca="false">IF(OR(B366="",G366="",T366="On Hold"),"",G366-INDEX(Project_Register!$H$6:$H$40,MATCH(B366,Project_Register!$A$6:$A$40,0)))</f>
        <v/>
      </c>
      <c r="O366" s="0" t="str">
        <f aca="false">IF(B366="","",IF(D366="","No update",IF(AND(T366&lt;&gt;"Active",D366&lt;1),T366,IF(D366&gt;=1,"Complete",IF(OR(L366&lt;=SV_Red,M366&gt;Cost_Red,N366&gt;Slip_Red),"Red",IF(OR(L366&lt;=SV_Amber,M366&gt;Cost_Amber,N366&gt;Slip_Amber),"Amber","Green"))))))</f>
        <v/>
      </c>
      <c r="P366" s="0" t="str">
        <f aca="false">IF(AND(H366="Green",OR(O366="Amber",O366="Red")),"Watermelon","")</f>
        <v/>
      </c>
      <c r="Q366" s="0" t="str">
        <f aca="false">IF(B366="","",IF(J366="","Missing",IF(J366&gt;A366+UpdateDue,"Late","On time")))</f>
        <v/>
      </c>
      <c r="R366" s="0" t="str">
        <f aca="false">IF(OR(B366="",D366=""),"",IF(COUNTIFS($B$6:$B$400,B366,$A$6:$A$400,EOMONTH(A366,-1))=0,"",IF(D366&lt;SUMIFS($D$6:$D$400,$B$6:$B$400,B366,$A$6:$A$400,EOMONTH(A366,-1)),"Dropped","")))</f>
        <v/>
      </c>
      <c r="S366" s="41" t="str">
        <f aca="false">IF(B366="","",B366&amp;"|"&amp;(YEAR(A366)*100+MONTH(A366)))</f>
        <v/>
      </c>
    </row>
    <row r="367" customFormat="false" ht="15" hidden="false" customHeight="false" outlineLevel="0" collapsed="false">
      <c r="A367" s="37"/>
      <c r="C367" s="0" t="str">
        <f aca="false">IF(B367="","",IFERROR(INDEX(Project_Register!$B$6:$B$40,MATCH(B367,Project_Register!$A$6:$A$40,0)),"Unknown ID"))</f>
        <v/>
      </c>
      <c r="D367" s="38"/>
      <c r="E367" s="24"/>
      <c r="F367" s="24"/>
      <c r="G367" s="39"/>
      <c r="J367" s="39"/>
      <c r="K367" s="38" t="str">
        <f aca="false">IF(OR(B367="",T367="On Hold"),"",MAX(0,MIN(1,(A367-INDEX(Project_Register!$G$6:$G$40,MATCH(B367,Project_Register!$A$6:$A$40,0)))/(INDEX(Project_Register!$H$6:$H$40,MATCH(B367,Project_Register!$A$6:$A$40,0))-INDEX(Project_Register!$G$6:$G$40,MATCH(B367,Project_Register!$A$6:$A$40,0))))))</f>
        <v/>
      </c>
      <c r="L367" s="40" t="str">
        <f aca="false">IF(OR(B367="",D367="",T367="On Hold"),"",ROUND((D367-K367)*100,0))</f>
        <v/>
      </c>
      <c r="M367" s="38" t="str">
        <f aca="false">IF(OR(B367="",F367=""),"",F367/INDEX(Project_Register!$I$6:$I$40,MATCH(B367,Project_Register!$A$6:$A$40,0)))</f>
        <v/>
      </c>
      <c r="N367" s="40" t="str">
        <f aca="false">IF(OR(B367="",G367="",T367="On Hold"),"",G367-INDEX(Project_Register!$H$6:$H$40,MATCH(B367,Project_Register!$A$6:$A$40,0)))</f>
        <v/>
      </c>
      <c r="O367" s="0" t="str">
        <f aca="false">IF(B367="","",IF(D367="","No update",IF(AND(T367&lt;&gt;"Active",D367&lt;1),T367,IF(D367&gt;=1,"Complete",IF(OR(L367&lt;=SV_Red,M367&gt;Cost_Red,N367&gt;Slip_Red),"Red",IF(OR(L367&lt;=SV_Amber,M367&gt;Cost_Amber,N367&gt;Slip_Amber),"Amber","Green"))))))</f>
        <v/>
      </c>
      <c r="P367" s="0" t="str">
        <f aca="false">IF(AND(H367="Green",OR(O367="Amber",O367="Red")),"Watermelon","")</f>
        <v/>
      </c>
      <c r="Q367" s="0" t="str">
        <f aca="false">IF(B367="","",IF(J367="","Missing",IF(J367&gt;A367+UpdateDue,"Late","On time")))</f>
        <v/>
      </c>
      <c r="R367" s="0" t="str">
        <f aca="false">IF(OR(B367="",D367=""),"",IF(COUNTIFS($B$6:$B$400,B367,$A$6:$A$400,EOMONTH(A367,-1))=0,"",IF(D367&lt;SUMIFS($D$6:$D$400,$B$6:$B$400,B367,$A$6:$A$400,EOMONTH(A367,-1)),"Dropped","")))</f>
        <v/>
      </c>
      <c r="S367" s="41" t="str">
        <f aca="false">IF(B367="","",B367&amp;"|"&amp;(YEAR(A367)*100+MONTH(A367)))</f>
        <v/>
      </c>
    </row>
    <row r="368" customFormat="false" ht="15" hidden="false" customHeight="false" outlineLevel="0" collapsed="false">
      <c r="A368" s="37"/>
      <c r="C368" s="0" t="str">
        <f aca="false">IF(B368="","",IFERROR(INDEX(Project_Register!$B$6:$B$40,MATCH(B368,Project_Register!$A$6:$A$40,0)),"Unknown ID"))</f>
        <v/>
      </c>
      <c r="D368" s="38"/>
      <c r="E368" s="24"/>
      <c r="F368" s="24"/>
      <c r="G368" s="39"/>
      <c r="J368" s="39"/>
      <c r="K368" s="38" t="str">
        <f aca="false">IF(OR(B368="",T368="On Hold"),"",MAX(0,MIN(1,(A368-INDEX(Project_Register!$G$6:$G$40,MATCH(B368,Project_Register!$A$6:$A$40,0)))/(INDEX(Project_Register!$H$6:$H$40,MATCH(B368,Project_Register!$A$6:$A$40,0))-INDEX(Project_Register!$G$6:$G$40,MATCH(B368,Project_Register!$A$6:$A$40,0))))))</f>
        <v/>
      </c>
      <c r="L368" s="40" t="str">
        <f aca="false">IF(OR(B368="",D368="",T368="On Hold"),"",ROUND((D368-K368)*100,0))</f>
        <v/>
      </c>
      <c r="M368" s="38" t="str">
        <f aca="false">IF(OR(B368="",F368=""),"",F368/INDEX(Project_Register!$I$6:$I$40,MATCH(B368,Project_Register!$A$6:$A$40,0)))</f>
        <v/>
      </c>
      <c r="N368" s="40" t="str">
        <f aca="false">IF(OR(B368="",G368="",T368="On Hold"),"",G368-INDEX(Project_Register!$H$6:$H$40,MATCH(B368,Project_Register!$A$6:$A$40,0)))</f>
        <v/>
      </c>
      <c r="O368" s="0" t="str">
        <f aca="false">IF(B368="","",IF(D368="","No update",IF(AND(T368&lt;&gt;"Active",D368&lt;1),T368,IF(D368&gt;=1,"Complete",IF(OR(L368&lt;=SV_Red,M368&gt;Cost_Red,N368&gt;Slip_Red),"Red",IF(OR(L368&lt;=SV_Amber,M368&gt;Cost_Amber,N368&gt;Slip_Amber),"Amber","Green"))))))</f>
        <v/>
      </c>
      <c r="P368" s="0" t="str">
        <f aca="false">IF(AND(H368="Green",OR(O368="Amber",O368="Red")),"Watermelon","")</f>
        <v/>
      </c>
      <c r="Q368" s="0" t="str">
        <f aca="false">IF(B368="","",IF(J368="","Missing",IF(J368&gt;A368+UpdateDue,"Late","On time")))</f>
        <v/>
      </c>
      <c r="R368" s="0" t="str">
        <f aca="false">IF(OR(B368="",D368=""),"",IF(COUNTIFS($B$6:$B$400,B368,$A$6:$A$400,EOMONTH(A368,-1))=0,"",IF(D368&lt;SUMIFS($D$6:$D$400,$B$6:$B$400,B368,$A$6:$A$400,EOMONTH(A368,-1)),"Dropped","")))</f>
        <v/>
      </c>
      <c r="S368" s="41" t="str">
        <f aca="false">IF(B368="","",B368&amp;"|"&amp;(YEAR(A368)*100+MONTH(A368)))</f>
        <v/>
      </c>
    </row>
    <row r="369" customFormat="false" ht="15" hidden="false" customHeight="false" outlineLevel="0" collapsed="false">
      <c r="A369" s="37"/>
      <c r="C369" s="0" t="str">
        <f aca="false">IF(B369="","",IFERROR(INDEX(Project_Register!$B$6:$B$40,MATCH(B369,Project_Register!$A$6:$A$40,0)),"Unknown ID"))</f>
        <v/>
      </c>
      <c r="D369" s="38"/>
      <c r="E369" s="24"/>
      <c r="F369" s="24"/>
      <c r="G369" s="39"/>
      <c r="J369" s="39"/>
      <c r="K369" s="38" t="str">
        <f aca="false">IF(OR(B369="",T369="On Hold"),"",MAX(0,MIN(1,(A369-INDEX(Project_Register!$G$6:$G$40,MATCH(B369,Project_Register!$A$6:$A$40,0)))/(INDEX(Project_Register!$H$6:$H$40,MATCH(B369,Project_Register!$A$6:$A$40,0))-INDEX(Project_Register!$G$6:$G$40,MATCH(B369,Project_Register!$A$6:$A$40,0))))))</f>
        <v/>
      </c>
      <c r="L369" s="40" t="str">
        <f aca="false">IF(OR(B369="",D369="",T369="On Hold"),"",ROUND((D369-K369)*100,0))</f>
        <v/>
      </c>
      <c r="M369" s="38" t="str">
        <f aca="false">IF(OR(B369="",F369=""),"",F369/INDEX(Project_Register!$I$6:$I$40,MATCH(B369,Project_Register!$A$6:$A$40,0)))</f>
        <v/>
      </c>
      <c r="N369" s="40" t="str">
        <f aca="false">IF(OR(B369="",G369="",T369="On Hold"),"",G369-INDEX(Project_Register!$H$6:$H$40,MATCH(B369,Project_Register!$A$6:$A$40,0)))</f>
        <v/>
      </c>
      <c r="O369" s="0" t="str">
        <f aca="false">IF(B369="","",IF(D369="","No update",IF(AND(T369&lt;&gt;"Active",D369&lt;1),T369,IF(D369&gt;=1,"Complete",IF(OR(L369&lt;=SV_Red,M369&gt;Cost_Red,N369&gt;Slip_Red),"Red",IF(OR(L369&lt;=SV_Amber,M369&gt;Cost_Amber,N369&gt;Slip_Amber),"Amber","Green"))))))</f>
        <v/>
      </c>
      <c r="P369" s="0" t="str">
        <f aca="false">IF(AND(H369="Green",OR(O369="Amber",O369="Red")),"Watermelon","")</f>
        <v/>
      </c>
      <c r="Q369" s="0" t="str">
        <f aca="false">IF(B369="","",IF(J369="","Missing",IF(J369&gt;A369+UpdateDue,"Late","On time")))</f>
        <v/>
      </c>
      <c r="R369" s="0" t="str">
        <f aca="false">IF(OR(B369="",D369=""),"",IF(COUNTIFS($B$6:$B$400,B369,$A$6:$A$400,EOMONTH(A369,-1))=0,"",IF(D369&lt;SUMIFS($D$6:$D$400,$B$6:$B$400,B369,$A$6:$A$400,EOMONTH(A369,-1)),"Dropped","")))</f>
        <v/>
      </c>
      <c r="S369" s="41" t="str">
        <f aca="false">IF(B369="","",B369&amp;"|"&amp;(YEAR(A369)*100+MONTH(A369)))</f>
        <v/>
      </c>
    </row>
    <row r="370" customFormat="false" ht="15" hidden="false" customHeight="false" outlineLevel="0" collapsed="false">
      <c r="A370" s="37"/>
      <c r="C370" s="0" t="str">
        <f aca="false">IF(B370="","",IFERROR(INDEX(Project_Register!$B$6:$B$40,MATCH(B370,Project_Register!$A$6:$A$40,0)),"Unknown ID"))</f>
        <v/>
      </c>
      <c r="D370" s="38"/>
      <c r="E370" s="24"/>
      <c r="F370" s="24"/>
      <c r="G370" s="39"/>
      <c r="J370" s="39"/>
      <c r="K370" s="38" t="str">
        <f aca="false">IF(OR(B370="",T370="On Hold"),"",MAX(0,MIN(1,(A370-INDEX(Project_Register!$G$6:$G$40,MATCH(B370,Project_Register!$A$6:$A$40,0)))/(INDEX(Project_Register!$H$6:$H$40,MATCH(B370,Project_Register!$A$6:$A$40,0))-INDEX(Project_Register!$G$6:$G$40,MATCH(B370,Project_Register!$A$6:$A$40,0))))))</f>
        <v/>
      </c>
      <c r="L370" s="40" t="str">
        <f aca="false">IF(OR(B370="",D370="",T370="On Hold"),"",ROUND((D370-K370)*100,0))</f>
        <v/>
      </c>
      <c r="M370" s="38" t="str">
        <f aca="false">IF(OR(B370="",F370=""),"",F370/INDEX(Project_Register!$I$6:$I$40,MATCH(B370,Project_Register!$A$6:$A$40,0)))</f>
        <v/>
      </c>
      <c r="N370" s="40" t="str">
        <f aca="false">IF(OR(B370="",G370="",T370="On Hold"),"",G370-INDEX(Project_Register!$H$6:$H$40,MATCH(B370,Project_Register!$A$6:$A$40,0)))</f>
        <v/>
      </c>
      <c r="O370" s="0" t="str">
        <f aca="false">IF(B370="","",IF(D370="","No update",IF(AND(T370&lt;&gt;"Active",D370&lt;1),T370,IF(D370&gt;=1,"Complete",IF(OR(L370&lt;=SV_Red,M370&gt;Cost_Red,N370&gt;Slip_Red),"Red",IF(OR(L370&lt;=SV_Amber,M370&gt;Cost_Amber,N370&gt;Slip_Amber),"Amber","Green"))))))</f>
        <v/>
      </c>
      <c r="P370" s="0" t="str">
        <f aca="false">IF(AND(H370="Green",OR(O370="Amber",O370="Red")),"Watermelon","")</f>
        <v/>
      </c>
      <c r="Q370" s="0" t="str">
        <f aca="false">IF(B370="","",IF(J370="","Missing",IF(J370&gt;A370+UpdateDue,"Late","On time")))</f>
        <v/>
      </c>
      <c r="R370" s="0" t="str">
        <f aca="false">IF(OR(B370="",D370=""),"",IF(COUNTIFS($B$6:$B$400,B370,$A$6:$A$400,EOMONTH(A370,-1))=0,"",IF(D370&lt;SUMIFS($D$6:$D$400,$B$6:$B$400,B370,$A$6:$A$400,EOMONTH(A370,-1)),"Dropped","")))</f>
        <v/>
      </c>
      <c r="S370" s="41" t="str">
        <f aca="false">IF(B370="","",B370&amp;"|"&amp;(YEAR(A370)*100+MONTH(A370)))</f>
        <v/>
      </c>
    </row>
    <row r="371" customFormat="false" ht="15" hidden="false" customHeight="false" outlineLevel="0" collapsed="false">
      <c r="A371" s="37"/>
      <c r="C371" s="0" t="str">
        <f aca="false">IF(B371="","",IFERROR(INDEX(Project_Register!$B$6:$B$40,MATCH(B371,Project_Register!$A$6:$A$40,0)),"Unknown ID"))</f>
        <v/>
      </c>
      <c r="D371" s="38"/>
      <c r="E371" s="24"/>
      <c r="F371" s="24"/>
      <c r="G371" s="39"/>
      <c r="J371" s="39"/>
      <c r="K371" s="38" t="str">
        <f aca="false">IF(OR(B371="",T371="On Hold"),"",MAX(0,MIN(1,(A371-INDEX(Project_Register!$G$6:$G$40,MATCH(B371,Project_Register!$A$6:$A$40,0)))/(INDEX(Project_Register!$H$6:$H$40,MATCH(B371,Project_Register!$A$6:$A$40,0))-INDEX(Project_Register!$G$6:$G$40,MATCH(B371,Project_Register!$A$6:$A$40,0))))))</f>
        <v/>
      </c>
      <c r="L371" s="40" t="str">
        <f aca="false">IF(OR(B371="",D371="",T371="On Hold"),"",ROUND((D371-K371)*100,0))</f>
        <v/>
      </c>
      <c r="M371" s="38" t="str">
        <f aca="false">IF(OR(B371="",F371=""),"",F371/INDEX(Project_Register!$I$6:$I$40,MATCH(B371,Project_Register!$A$6:$A$40,0)))</f>
        <v/>
      </c>
      <c r="N371" s="40" t="str">
        <f aca="false">IF(OR(B371="",G371="",T371="On Hold"),"",G371-INDEX(Project_Register!$H$6:$H$40,MATCH(B371,Project_Register!$A$6:$A$40,0)))</f>
        <v/>
      </c>
      <c r="O371" s="0" t="str">
        <f aca="false">IF(B371="","",IF(D371="","No update",IF(AND(T371&lt;&gt;"Active",D371&lt;1),T371,IF(D371&gt;=1,"Complete",IF(OR(L371&lt;=SV_Red,M371&gt;Cost_Red,N371&gt;Slip_Red),"Red",IF(OR(L371&lt;=SV_Amber,M371&gt;Cost_Amber,N371&gt;Slip_Amber),"Amber","Green"))))))</f>
        <v/>
      </c>
      <c r="P371" s="0" t="str">
        <f aca="false">IF(AND(H371="Green",OR(O371="Amber",O371="Red")),"Watermelon","")</f>
        <v/>
      </c>
      <c r="Q371" s="0" t="str">
        <f aca="false">IF(B371="","",IF(J371="","Missing",IF(J371&gt;A371+UpdateDue,"Late","On time")))</f>
        <v/>
      </c>
      <c r="R371" s="0" t="str">
        <f aca="false">IF(OR(B371="",D371=""),"",IF(COUNTIFS($B$6:$B$400,B371,$A$6:$A$400,EOMONTH(A371,-1))=0,"",IF(D371&lt;SUMIFS($D$6:$D$400,$B$6:$B$400,B371,$A$6:$A$400,EOMONTH(A371,-1)),"Dropped","")))</f>
        <v/>
      </c>
      <c r="S371" s="41" t="str">
        <f aca="false">IF(B371="","",B371&amp;"|"&amp;(YEAR(A371)*100+MONTH(A371)))</f>
        <v/>
      </c>
    </row>
    <row r="372" customFormat="false" ht="15" hidden="false" customHeight="false" outlineLevel="0" collapsed="false">
      <c r="A372" s="37"/>
      <c r="C372" s="0" t="str">
        <f aca="false">IF(B372="","",IFERROR(INDEX(Project_Register!$B$6:$B$40,MATCH(B372,Project_Register!$A$6:$A$40,0)),"Unknown ID"))</f>
        <v/>
      </c>
      <c r="D372" s="38"/>
      <c r="E372" s="24"/>
      <c r="F372" s="24"/>
      <c r="G372" s="39"/>
      <c r="J372" s="39"/>
      <c r="K372" s="38" t="str">
        <f aca="false">IF(OR(B372="",T372="On Hold"),"",MAX(0,MIN(1,(A372-INDEX(Project_Register!$G$6:$G$40,MATCH(B372,Project_Register!$A$6:$A$40,0)))/(INDEX(Project_Register!$H$6:$H$40,MATCH(B372,Project_Register!$A$6:$A$40,0))-INDEX(Project_Register!$G$6:$G$40,MATCH(B372,Project_Register!$A$6:$A$40,0))))))</f>
        <v/>
      </c>
      <c r="L372" s="40" t="str">
        <f aca="false">IF(OR(B372="",D372="",T372="On Hold"),"",ROUND((D372-K372)*100,0))</f>
        <v/>
      </c>
      <c r="M372" s="38" t="str">
        <f aca="false">IF(OR(B372="",F372=""),"",F372/INDEX(Project_Register!$I$6:$I$40,MATCH(B372,Project_Register!$A$6:$A$40,0)))</f>
        <v/>
      </c>
      <c r="N372" s="40" t="str">
        <f aca="false">IF(OR(B372="",G372="",T372="On Hold"),"",G372-INDEX(Project_Register!$H$6:$H$40,MATCH(B372,Project_Register!$A$6:$A$40,0)))</f>
        <v/>
      </c>
      <c r="O372" s="0" t="str">
        <f aca="false">IF(B372="","",IF(D372="","No update",IF(AND(T372&lt;&gt;"Active",D372&lt;1),T372,IF(D372&gt;=1,"Complete",IF(OR(L372&lt;=SV_Red,M372&gt;Cost_Red,N372&gt;Slip_Red),"Red",IF(OR(L372&lt;=SV_Amber,M372&gt;Cost_Amber,N372&gt;Slip_Amber),"Amber","Green"))))))</f>
        <v/>
      </c>
      <c r="P372" s="0" t="str">
        <f aca="false">IF(AND(H372="Green",OR(O372="Amber",O372="Red")),"Watermelon","")</f>
        <v/>
      </c>
      <c r="Q372" s="0" t="str">
        <f aca="false">IF(B372="","",IF(J372="","Missing",IF(J372&gt;A372+UpdateDue,"Late","On time")))</f>
        <v/>
      </c>
      <c r="R372" s="0" t="str">
        <f aca="false">IF(OR(B372="",D372=""),"",IF(COUNTIFS($B$6:$B$400,B372,$A$6:$A$400,EOMONTH(A372,-1))=0,"",IF(D372&lt;SUMIFS($D$6:$D$400,$B$6:$B$400,B372,$A$6:$A$400,EOMONTH(A372,-1)),"Dropped","")))</f>
        <v/>
      </c>
      <c r="S372" s="41" t="str">
        <f aca="false">IF(B372="","",B372&amp;"|"&amp;(YEAR(A372)*100+MONTH(A372)))</f>
        <v/>
      </c>
    </row>
    <row r="373" customFormat="false" ht="15" hidden="false" customHeight="false" outlineLevel="0" collapsed="false">
      <c r="A373" s="37"/>
      <c r="C373" s="0" t="str">
        <f aca="false">IF(B373="","",IFERROR(INDEX(Project_Register!$B$6:$B$40,MATCH(B373,Project_Register!$A$6:$A$40,0)),"Unknown ID"))</f>
        <v/>
      </c>
      <c r="D373" s="38"/>
      <c r="E373" s="24"/>
      <c r="F373" s="24"/>
      <c r="G373" s="39"/>
      <c r="J373" s="39"/>
      <c r="K373" s="38" t="str">
        <f aca="false">IF(OR(B373="",T373="On Hold"),"",MAX(0,MIN(1,(A373-INDEX(Project_Register!$G$6:$G$40,MATCH(B373,Project_Register!$A$6:$A$40,0)))/(INDEX(Project_Register!$H$6:$H$40,MATCH(B373,Project_Register!$A$6:$A$40,0))-INDEX(Project_Register!$G$6:$G$40,MATCH(B373,Project_Register!$A$6:$A$40,0))))))</f>
        <v/>
      </c>
      <c r="L373" s="40" t="str">
        <f aca="false">IF(OR(B373="",D373="",T373="On Hold"),"",ROUND((D373-K373)*100,0))</f>
        <v/>
      </c>
      <c r="M373" s="38" t="str">
        <f aca="false">IF(OR(B373="",F373=""),"",F373/INDEX(Project_Register!$I$6:$I$40,MATCH(B373,Project_Register!$A$6:$A$40,0)))</f>
        <v/>
      </c>
      <c r="N373" s="40" t="str">
        <f aca="false">IF(OR(B373="",G373="",T373="On Hold"),"",G373-INDEX(Project_Register!$H$6:$H$40,MATCH(B373,Project_Register!$A$6:$A$40,0)))</f>
        <v/>
      </c>
      <c r="O373" s="0" t="str">
        <f aca="false">IF(B373="","",IF(D373="","No update",IF(AND(T373&lt;&gt;"Active",D373&lt;1),T373,IF(D373&gt;=1,"Complete",IF(OR(L373&lt;=SV_Red,M373&gt;Cost_Red,N373&gt;Slip_Red),"Red",IF(OR(L373&lt;=SV_Amber,M373&gt;Cost_Amber,N373&gt;Slip_Amber),"Amber","Green"))))))</f>
        <v/>
      </c>
      <c r="P373" s="0" t="str">
        <f aca="false">IF(AND(H373="Green",OR(O373="Amber",O373="Red")),"Watermelon","")</f>
        <v/>
      </c>
      <c r="Q373" s="0" t="str">
        <f aca="false">IF(B373="","",IF(J373="","Missing",IF(J373&gt;A373+UpdateDue,"Late","On time")))</f>
        <v/>
      </c>
      <c r="R373" s="0" t="str">
        <f aca="false">IF(OR(B373="",D373=""),"",IF(COUNTIFS($B$6:$B$400,B373,$A$6:$A$400,EOMONTH(A373,-1))=0,"",IF(D373&lt;SUMIFS($D$6:$D$400,$B$6:$B$400,B373,$A$6:$A$400,EOMONTH(A373,-1)),"Dropped","")))</f>
        <v/>
      </c>
      <c r="S373" s="41" t="str">
        <f aca="false">IF(B373="","",B373&amp;"|"&amp;(YEAR(A373)*100+MONTH(A373)))</f>
        <v/>
      </c>
    </row>
    <row r="374" customFormat="false" ht="15" hidden="false" customHeight="false" outlineLevel="0" collapsed="false">
      <c r="A374" s="37"/>
      <c r="C374" s="0" t="str">
        <f aca="false">IF(B374="","",IFERROR(INDEX(Project_Register!$B$6:$B$40,MATCH(B374,Project_Register!$A$6:$A$40,0)),"Unknown ID"))</f>
        <v/>
      </c>
      <c r="D374" s="38"/>
      <c r="E374" s="24"/>
      <c r="F374" s="24"/>
      <c r="G374" s="39"/>
      <c r="J374" s="39"/>
      <c r="K374" s="38" t="str">
        <f aca="false">IF(OR(B374="",T374="On Hold"),"",MAX(0,MIN(1,(A374-INDEX(Project_Register!$G$6:$G$40,MATCH(B374,Project_Register!$A$6:$A$40,0)))/(INDEX(Project_Register!$H$6:$H$40,MATCH(B374,Project_Register!$A$6:$A$40,0))-INDEX(Project_Register!$G$6:$G$40,MATCH(B374,Project_Register!$A$6:$A$40,0))))))</f>
        <v/>
      </c>
      <c r="L374" s="40" t="str">
        <f aca="false">IF(OR(B374="",D374="",T374="On Hold"),"",ROUND((D374-K374)*100,0))</f>
        <v/>
      </c>
      <c r="M374" s="38" t="str">
        <f aca="false">IF(OR(B374="",F374=""),"",F374/INDEX(Project_Register!$I$6:$I$40,MATCH(B374,Project_Register!$A$6:$A$40,0)))</f>
        <v/>
      </c>
      <c r="N374" s="40" t="str">
        <f aca="false">IF(OR(B374="",G374="",T374="On Hold"),"",G374-INDEX(Project_Register!$H$6:$H$40,MATCH(B374,Project_Register!$A$6:$A$40,0)))</f>
        <v/>
      </c>
      <c r="O374" s="0" t="str">
        <f aca="false">IF(B374="","",IF(D374="","No update",IF(AND(T374&lt;&gt;"Active",D374&lt;1),T374,IF(D374&gt;=1,"Complete",IF(OR(L374&lt;=SV_Red,M374&gt;Cost_Red,N374&gt;Slip_Red),"Red",IF(OR(L374&lt;=SV_Amber,M374&gt;Cost_Amber,N374&gt;Slip_Amber),"Amber","Green"))))))</f>
        <v/>
      </c>
      <c r="P374" s="0" t="str">
        <f aca="false">IF(AND(H374="Green",OR(O374="Amber",O374="Red")),"Watermelon","")</f>
        <v/>
      </c>
      <c r="Q374" s="0" t="str">
        <f aca="false">IF(B374="","",IF(J374="","Missing",IF(J374&gt;A374+UpdateDue,"Late","On time")))</f>
        <v/>
      </c>
      <c r="R374" s="0" t="str">
        <f aca="false">IF(OR(B374="",D374=""),"",IF(COUNTIFS($B$6:$B$400,B374,$A$6:$A$400,EOMONTH(A374,-1))=0,"",IF(D374&lt;SUMIFS($D$6:$D$400,$B$6:$B$400,B374,$A$6:$A$400,EOMONTH(A374,-1)),"Dropped","")))</f>
        <v/>
      </c>
      <c r="S374" s="41" t="str">
        <f aca="false">IF(B374="","",B374&amp;"|"&amp;(YEAR(A374)*100+MONTH(A374)))</f>
        <v/>
      </c>
    </row>
    <row r="375" customFormat="false" ht="15" hidden="false" customHeight="false" outlineLevel="0" collapsed="false">
      <c r="A375" s="37"/>
      <c r="C375" s="0" t="str">
        <f aca="false">IF(B375="","",IFERROR(INDEX(Project_Register!$B$6:$B$40,MATCH(B375,Project_Register!$A$6:$A$40,0)),"Unknown ID"))</f>
        <v/>
      </c>
      <c r="D375" s="38"/>
      <c r="E375" s="24"/>
      <c r="F375" s="24"/>
      <c r="G375" s="39"/>
      <c r="J375" s="39"/>
      <c r="K375" s="38" t="str">
        <f aca="false">IF(OR(B375="",T375="On Hold"),"",MAX(0,MIN(1,(A375-INDEX(Project_Register!$G$6:$G$40,MATCH(B375,Project_Register!$A$6:$A$40,0)))/(INDEX(Project_Register!$H$6:$H$40,MATCH(B375,Project_Register!$A$6:$A$40,0))-INDEX(Project_Register!$G$6:$G$40,MATCH(B375,Project_Register!$A$6:$A$40,0))))))</f>
        <v/>
      </c>
      <c r="L375" s="40" t="str">
        <f aca="false">IF(OR(B375="",D375="",T375="On Hold"),"",ROUND((D375-K375)*100,0))</f>
        <v/>
      </c>
      <c r="M375" s="38" t="str">
        <f aca="false">IF(OR(B375="",F375=""),"",F375/INDEX(Project_Register!$I$6:$I$40,MATCH(B375,Project_Register!$A$6:$A$40,0)))</f>
        <v/>
      </c>
      <c r="N375" s="40" t="str">
        <f aca="false">IF(OR(B375="",G375="",T375="On Hold"),"",G375-INDEX(Project_Register!$H$6:$H$40,MATCH(B375,Project_Register!$A$6:$A$40,0)))</f>
        <v/>
      </c>
      <c r="O375" s="0" t="str">
        <f aca="false">IF(B375="","",IF(D375="","No update",IF(AND(T375&lt;&gt;"Active",D375&lt;1),T375,IF(D375&gt;=1,"Complete",IF(OR(L375&lt;=SV_Red,M375&gt;Cost_Red,N375&gt;Slip_Red),"Red",IF(OR(L375&lt;=SV_Amber,M375&gt;Cost_Amber,N375&gt;Slip_Amber),"Amber","Green"))))))</f>
        <v/>
      </c>
      <c r="P375" s="0" t="str">
        <f aca="false">IF(AND(H375="Green",OR(O375="Amber",O375="Red")),"Watermelon","")</f>
        <v/>
      </c>
      <c r="Q375" s="0" t="str">
        <f aca="false">IF(B375="","",IF(J375="","Missing",IF(J375&gt;A375+UpdateDue,"Late","On time")))</f>
        <v/>
      </c>
      <c r="R375" s="0" t="str">
        <f aca="false">IF(OR(B375="",D375=""),"",IF(COUNTIFS($B$6:$B$400,B375,$A$6:$A$400,EOMONTH(A375,-1))=0,"",IF(D375&lt;SUMIFS($D$6:$D$400,$B$6:$B$400,B375,$A$6:$A$400,EOMONTH(A375,-1)),"Dropped","")))</f>
        <v/>
      </c>
      <c r="S375" s="41" t="str">
        <f aca="false">IF(B375="","",B375&amp;"|"&amp;(YEAR(A375)*100+MONTH(A375)))</f>
        <v/>
      </c>
    </row>
    <row r="376" customFormat="false" ht="15" hidden="false" customHeight="false" outlineLevel="0" collapsed="false">
      <c r="A376" s="37"/>
      <c r="C376" s="0" t="str">
        <f aca="false">IF(B376="","",IFERROR(INDEX(Project_Register!$B$6:$B$40,MATCH(B376,Project_Register!$A$6:$A$40,0)),"Unknown ID"))</f>
        <v/>
      </c>
      <c r="D376" s="38"/>
      <c r="E376" s="24"/>
      <c r="F376" s="24"/>
      <c r="G376" s="39"/>
      <c r="J376" s="39"/>
      <c r="K376" s="38" t="str">
        <f aca="false">IF(OR(B376="",T376="On Hold"),"",MAX(0,MIN(1,(A376-INDEX(Project_Register!$G$6:$G$40,MATCH(B376,Project_Register!$A$6:$A$40,0)))/(INDEX(Project_Register!$H$6:$H$40,MATCH(B376,Project_Register!$A$6:$A$40,0))-INDEX(Project_Register!$G$6:$G$40,MATCH(B376,Project_Register!$A$6:$A$40,0))))))</f>
        <v/>
      </c>
      <c r="L376" s="40" t="str">
        <f aca="false">IF(OR(B376="",D376="",T376="On Hold"),"",ROUND((D376-K376)*100,0))</f>
        <v/>
      </c>
      <c r="M376" s="38" t="str">
        <f aca="false">IF(OR(B376="",F376=""),"",F376/INDEX(Project_Register!$I$6:$I$40,MATCH(B376,Project_Register!$A$6:$A$40,0)))</f>
        <v/>
      </c>
      <c r="N376" s="40" t="str">
        <f aca="false">IF(OR(B376="",G376="",T376="On Hold"),"",G376-INDEX(Project_Register!$H$6:$H$40,MATCH(B376,Project_Register!$A$6:$A$40,0)))</f>
        <v/>
      </c>
      <c r="O376" s="0" t="str">
        <f aca="false">IF(B376="","",IF(D376="","No update",IF(AND(T376&lt;&gt;"Active",D376&lt;1),T376,IF(D376&gt;=1,"Complete",IF(OR(L376&lt;=SV_Red,M376&gt;Cost_Red,N376&gt;Slip_Red),"Red",IF(OR(L376&lt;=SV_Amber,M376&gt;Cost_Amber,N376&gt;Slip_Amber),"Amber","Green"))))))</f>
        <v/>
      </c>
      <c r="P376" s="0" t="str">
        <f aca="false">IF(AND(H376="Green",OR(O376="Amber",O376="Red")),"Watermelon","")</f>
        <v/>
      </c>
      <c r="Q376" s="0" t="str">
        <f aca="false">IF(B376="","",IF(J376="","Missing",IF(J376&gt;A376+UpdateDue,"Late","On time")))</f>
        <v/>
      </c>
      <c r="R376" s="0" t="str">
        <f aca="false">IF(OR(B376="",D376=""),"",IF(COUNTIFS($B$6:$B$400,B376,$A$6:$A$400,EOMONTH(A376,-1))=0,"",IF(D376&lt;SUMIFS($D$6:$D$400,$B$6:$B$400,B376,$A$6:$A$400,EOMONTH(A376,-1)),"Dropped","")))</f>
        <v/>
      </c>
      <c r="S376" s="41" t="str">
        <f aca="false">IF(B376="","",B376&amp;"|"&amp;(YEAR(A376)*100+MONTH(A376)))</f>
        <v/>
      </c>
    </row>
    <row r="377" customFormat="false" ht="15" hidden="false" customHeight="false" outlineLevel="0" collapsed="false">
      <c r="A377" s="37"/>
      <c r="C377" s="0" t="str">
        <f aca="false">IF(B377="","",IFERROR(INDEX(Project_Register!$B$6:$B$40,MATCH(B377,Project_Register!$A$6:$A$40,0)),"Unknown ID"))</f>
        <v/>
      </c>
      <c r="D377" s="38"/>
      <c r="E377" s="24"/>
      <c r="F377" s="24"/>
      <c r="G377" s="39"/>
      <c r="J377" s="39"/>
      <c r="K377" s="38" t="str">
        <f aca="false">IF(OR(B377="",T377="On Hold"),"",MAX(0,MIN(1,(A377-INDEX(Project_Register!$G$6:$G$40,MATCH(B377,Project_Register!$A$6:$A$40,0)))/(INDEX(Project_Register!$H$6:$H$40,MATCH(B377,Project_Register!$A$6:$A$40,0))-INDEX(Project_Register!$G$6:$G$40,MATCH(B377,Project_Register!$A$6:$A$40,0))))))</f>
        <v/>
      </c>
      <c r="L377" s="40" t="str">
        <f aca="false">IF(OR(B377="",D377="",T377="On Hold"),"",ROUND((D377-K377)*100,0))</f>
        <v/>
      </c>
      <c r="M377" s="38" t="str">
        <f aca="false">IF(OR(B377="",F377=""),"",F377/INDEX(Project_Register!$I$6:$I$40,MATCH(B377,Project_Register!$A$6:$A$40,0)))</f>
        <v/>
      </c>
      <c r="N377" s="40" t="str">
        <f aca="false">IF(OR(B377="",G377="",T377="On Hold"),"",G377-INDEX(Project_Register!$H$6:$H$40,MATCH(B377,Project_Register!$A$6:$A$40,0)))</f>
        <v/>
      </c>
      <c r="O377" s="0" t="str">
        <f aca="false">IF(B377="","",IF(D377="","No update",IF(AND(T377&lt;&gt;"Active",D377&lt;1),T377,IF(D377&gt;=1,"Complete",IF(OR(L377&lt;=SV_Red,M377&gt;Cost_Red,N377&gt;Slip_Red),"Red",IF(OR(L377&lt;=SV_Amber,M377&gt;Cost_Amber,N377&gt;Slip_Amber),"Amber","Green"))))))</f>
        <v/>
      </c>
      <c r="P377" s="0" t="str">
        <f aca="false">IF(AND(H377="Green",OR(O377="Amber",O377="Red")),"Watermelon","")</f>
        <v/>
      </c>
      <c r="Q377" s="0" t="str">
        <f aca="false">IF(B377="","",IF(J377="","Missing",IF(J377&gt;A377+UpdateDue,"Late","On time")))</f>
        <v/>
      </c>
      <c r="R377" s="0" t="str">
        <f aca="false">IF(OR(B377="",D377=""),"",IF(COUNTIFS($B$6:$B$400,B377,$A$6:$A$400,EOMONTH(A377,-1))=0,"",IF(D377&lt;SUMIFS($D$6:$D$400,$B$6:$B$400,B377,$A$6:$A$400,EOMONTH(A377,-1)),"Dropped","")))</f>
        <v/>
      </c>
      <c r="S377" s="41" t="str">
        <f aca="false">IF(B377="","",B377&amp;"|"&amp;(YEAR(A377)*100+MONTH(A377)))</f>
        <v/>
      </c>
    </row>
    <row r="378" customFormat="false" ht="15" hidden="false" customHeight="false" outlineLevel="0" collapsed="false">
      <c r="A378" s="37"/>
      <c r="C378" s="0" t="str">
        <f aca="false">IF(B378="","",IFERROR(INDEX(Project_Register!$B$6:$B$40,MATCH(B378,Project_Register!$A$6:$A$40,0)),"Unknown ID"))</f>
        <v/>
      </c>
      <c r="D378" s="38"/>
      <c r="E378" s="24"/>
      <c r="F378" s="24"/>
      <c r="G378" s="39"/>
      <c r="J378" s="39"/>
      <c r="K378" s="38" t="str">
        <f aca="false">IF(OR(B378="",T378="On Hold"),"",MAX(0,MIN(1,(A378-INDEX(Project_Register!$G$6:$G$40,MATCH(B378,Project_Register!$A$6:$A$40,0)))/(INDEX(Project_Register!$H$6:$H$40,MATCH(B378,Project_Register!$A$6:$A$40,0))-INDEX(Project_Register!$G$6:$G$40,MATCH(B378,Project_Register!$A$6:$A$40,0))))))</f>
        <v/>
      </c>
      <c r="L378" s="40" t="str">
        <f aca="false">IF(OR(B378="",D378="",T378="On Hold"),"",ROUND((D378-K378)*100,0))</f>
        <v/>
      </c>
      <c r="M378" s="38" t="str">
        <f aca="false">IF(OR(B378="",F378=""),"",F378/INDEX(Project_Register!$I$6:$I$40,MATCH(B378,Project_Register!$A$6:$A$40,0)))</f>
        <v/>
      </c>
      <c r="N378" s="40" t="str">
        <f aca="false">IF(OR(B378="",G378="",T378="On Hold"),"",G378-INDEX(Project_Register!$H$6:$H$40,MATCH(B378,Project_Register!$A$6:$A$40,0)))</f>
        <v/>
      </c>
      <c r="O378" s="0" t="str">
        <f aca="false">IF(B378="","",IF(D378="","No update",IF(AND(T378&lt;&gt;"Active",D378&lt;1),T378,IF(D378&gt;=1,"Complete",IF(OR(L378&lt;=SV_Red,M378&gt;Cost_Red,N378&gt;Slip_Red),"Red",IF(OR(L378&lt;=SV_Amber,M378&gt;Cost_Amber,N378&gt;Slip_Amber),"Amber","Green"))))))</f>
        <v/>
      </c>
      <c r="P378" s="0" t="str">
        <f aca="false">IF(AND(H378="Green",OR(O378="Amber",O378="Red")),"Watermelon","")</f>
        <v/>
      </c>
      <c r="Q378" s="0" t="str">
        <f aca="false">IF(B378="","",IF(J378="","Missing",IF(J378&gt;A378+UpdateDue,"Late","On time")))</f>
        <v/>
      </c>
      <c r="R378" s="0" t="str">
        <f aca="false">IF(OR(B378="",D378=""),"",IF(COUNTIFS($B$6:$B$400,B378,$A$6:$A$400,EOMONTH(A378,-1))=0,"",IF(D378&lt;SUMIFS($D$6:$D$400,$B$6:$B$400,B378,$A$6:$A$400,EOMONTH(A378,-1)),"Dropped","")))</f>
        <v/>
      </c>
      <c r="S378" s="41" t="str">
        <f aca="false">IF(B378="","",B378&amp;"|"&amp;(YEAR(A378)*100+MONTH(A378)))</f>
        <v/>
      </c>
    </row>
    <row r="379" customFormat="false" ht="15" hidden="false" customHeight="false" outlineLevel="0" collapsed="false">
      <c r="A379" s="37"/>
      <c r="C379" s="0" t="str">
        <f aca="false">IF(B379="","",IFERROR(INDEX(Project_Register!$B$6:$B$40,MATCH(B379,Project_Register!$A$6:$A$40,0)),"Unknown ID"))</f>
        <v/>
      </c>
      <c r="D379" s="38"/>
      <c r="E379" s="24"/>
      <c r="F379" s="24"/>
      <c r="G379" s="39"/>
      <c r="J379" s="39"/>
      <c r="K379" s="38" t="str">
        <f aca="false">IF(OR(B379="",T379="On Hold"),"",MAX(0,MIN(1,(A379-INDEX(Project_Register!$G$6:$G$40,MATCH(B379,Project_Register!$A$6:$A$40,0)))/(INDEX(Project_Register!$H$6:$H$40,MATCH(B379,Project_Register!$A$6:$A$40,0))-INDEX(Project_Register!$G$6:$G$40,MATCH(B379,Project_Register!$A$6:$A$40,0))))))</f>
        <v/>
      </c>
      <c r="L379" s="40" t="str">
        <f aca="false">IF(OR(B379="",D379="",T379="On Hold"),"",ROUND((D379-K379)*100,0))</f>
        <v/>
      </c>
      <c r="M379" s="38" t="str">
        <f aca="false">IF(OR(B379="",F379=""),"",F379/INDEX(Project_Register!$I$6:$I$40,MATCH(B379,Project_Register!$A$6:$A$40,0)))</f>
        <v/>
      </c>
      <c r="N379" s="40" t="str">
        <f aca="false">IF(OR(B379="",G379="",T379="On Hold"),"",G379-INDEX(Project_Register!$H$6:$H$40,MATCH(B379,Project_Register!$A$6:$A$40,0)))</f>
        <v/>
      </c>
      <c r="O379" s="0" t="str">
        <f aca="false">IF(B379="","",IF(D379="","No update",IF(AND(T379&lt;&gt;"Active",D379&lt;1),T379,IF(D379&gt;=1,"Complete",IF(OR(L379&lt;=SV_Red,M379&gt;Cost_Red,N379&gt;Slip_Red),"Red",IF(OR(L379&lt;=SV_Amber,M379&gt;Cost_Amber,N379&gt;Slip_Amber),"Amber","Green"))))))</f>
        <v/>
      </c>
      <c r="P379" s="0" t="str">
        <f aca="false">IF(AND(H379="Green",OR(O379="Amber",O379="Red")),"Watermelon","")</f>
        <v/>
      </c>
      <c r="Q379" s="0" t="str">
        <f aca="false">IF(B379="","",IF(J379="","Missing",IF(J379&gt;A379+UpdateDue,"Late","On time")))</f>
        <v/>
      </c>
      <c r="R379" s="0" t="str">
        <f aca="false">IF(OR(B379="",D379=""),"",IF(COUNTIFS($B$6:$B$400,B379,$A$6:$A$400,EOMONTH(A379,-1))=0,"",IF(D379&lt;SUMIFS($D$6:$D$400,$B$6:$B$400,B379,$A$6:$A$400,EOMONTH(A379,-1)),"Dropped","")))</f>
        <v/>
      </c>
      <c r="S379" s="41" t="str">
        <f aca="false">IF(B379="","",B379&amp;"|"&amp;(YEAR(A379)*100+MONTH(A379)))</f>
        <v/>
      </c>
    </row>
    <row r="380" customFormat="false" ht="15" hidden="false" customHeight="false" outlineLevel="0" collapsed="false">
      <c r="A380" s="37"/>
      <c r="C380" s="0" t="str">
        <f aca="false">IF(B380="","",IFERROR(INDEX(Project_Register!$B$6:$B$40,MATCH(B380,Project_Register!$A$6:$A$40,0)),"Unknown ID"))</f>
        <v/>
      </c>
      <c r="D380" s="38"/>
      <c r="E380" s="24"/>
      <c r="F380" s="24"/>
      <c r="G380" s="39"/>
      <c r="J380" s="39"/>
      <c r="K380" s="38" t="str">
        <f aca="false">IF(OR(B380="",T380="On Hold"),"",MAX(0,MIN(1,(A380-INDEX(Project_Register!$G$6:$G$40,MATCH(B380,Project_Register!$A$6:$A$40,0)))/(INDEX(Project_Register!$H$6:$H$40,MATCH(B380,Project_Register!$A$6:$A$40,0))-INDEX(Project_Register!$G$6:$G$40,MATCH(B380,Project_Register!$A$6:$A$40,0))))))</f>
        <v/>
      </c>
      <c r="L380" s="40" t="str">
        <f aca="false">IF(OR(B380="",D380="",T380="On Hold"),"",ROUND((D380-K380)*100,0))</f>
        <v/>
      </c>
      <c r="M380" s="38" t="str">
        <f aca="false">IF(OR(B380="",F380=""),"",F380/INDEX(Project_Register!$I$6:$I$40,MATCH(B380,Project_Register!$A$6:$A$40,0)))</f>
        <v/>
      </c>
      <c r="N380" s="40" t="str">
        <f aca="false">IF(OR(B380="",G380="",T380="On Hold"),"",G380-INDEX(Project_Register!$H$6:$H$40,MATCH(B380,Project_Register!$A$6:$A$40,0)))</f>
        <v/>
      </c>
      <c r="O380" s="0" t="str">
        <f aca="false">IF(B380="","",IF(D380="","No update",IF(AND(T380&lt;&gt;"Active",D380&lt;1),T380,IF(D380&gt;=1,"Complete",IF(OR(L380&lt;=SV_Red,M380&gt;Cost_Red,N380&gt;Slip_Red),"Red",IF(OR(L380&lt;=SV_Amber,M380&gt;Cost_Amber,N380&gt;Slip_Amber),"Amber","Green"))))))</f>
        <v/>
      </c>
      <c r="P380" s="0" t="str">
        <f aca="false">IF(AND(H380="Green",OR(O380="Amber",O380="Red")),"Watermelon","")</f>
        <v/>
      </c>
      <c r="Q380" s="0" t="str">
        <f aca="false">IF(B380="","",IF(J380="","Missing",IF(J380&gt;A380+UpdateDue,"Late","On time")))</f>
        <v/>
      </c>
      <c r="R380" s="0" t="str">
        <f aca="false">IF(OR(B380="",D380=""),"",IF(COUNTIFS($B$6:$B$400,B380,$A$6:$A$400,EOMONTH(A380,-1))=0,"",IF(D380&lt;SUMIFS($D$6:$D$400,$B$6:$B$400,B380,$A$6:$A$400,EOMONTH(A380,-1)),"Dropped","")))</f>
        <v/>
      </c>
      <c r="S380" s="41" t="str">
        <f aca="false">IF(B380="","",B380&amp;"|"&amp;(YEAR(A380)*100+MONTH(A380)))</f>
        <v/>
      </c>
    </row>
    <row r="381" customFormat="false" ht="15" hidden="false" customHeight="false" outlineLevel="0" collapsed="false">
      <c r="A381" s="37"/>
      <c r="C381" s="0" t="str">
        <f aca="false">IF(B381="","",IFERROR(INDEX(Project_Register!$B$6:$B$40,MATCH(B381,Project_Register!$A$6:$A$40,0)),"Unknown ID"))</f>
        <v/>
      </c>
      <c r="D381" s="38"/>
      <c r="E381" s="24"/>
      <c r="F381" s="24"/>
      <c r="G381" s="39"/>
      <c r="J381" s="39"/>
      <c r="K381" s="38" t="str">
        <f aca="false">IF(OR(B381="",T381="On Hold"),"",MAX(0,MIN(1,(A381-INDEX(Project_Register!$G$6:$G$40,MATCH(B381,Project_Register!$A$6:$A$40,0)))/(INDEX(Project_Register!$H$6:$H$40,MATCH(B381,Project_Register!$A$6:$A$40,0))-INDEX(Project_Register!$G$6:$G$40,MATCH(B381,Project_Register!$A$6:$A$40,0))))))</f>
        <v/>
      </c>
      <c r="L381" s="40" t="str">
        <f aca="false">IF(OR(B381="",D381="",T381="On Hold"),"",ROUND((D381-K381)*100,0))</f>
        <v/>
      </c>
      <c r="M381" s="38" t="str">
        <f aca="false">IF(OR(B381="",F381=""),"",F381/INDEX(Project_Register!$I$6:$I$40,MATCH(B381,Project_Register!$A$6:$A$40,0)))</f>
        <v/>
      </c>
      <c r="N381" s="40" t="str">
        <f aca="false">IF(OR(B381="",G381="",T381="On Hold"),"",G381-INDEX(Project_Register!$H$6:$H$40,MATCH(B381,Project_Register!$A$6:$A$40,0)))</f>
        <v/>
      </c>
      <c r="O381" s="0" t="str">
        <f aca="false">IF(B381="","",IF(D381="","No update",IF(AND(T381&lt;&gt;"Active",D381&lt;1),T381,IF(D381&gt;=1,"Complete",IF(OR(L381&lt;=SV_Red,M381&gt;Cost_Red,N381&gt;Slip_Red),"Red",IF(OR(L381&lt;=SV_Amber,M381&gt;Cost_Amber,N381&gt;Slip_Amber),"Amber","Green"))))))</f>
        <v/>
      </c>
      <c r="P381" s="0" t="str">
        <f aca="false">IF(AND(H381="Green",OR(O381="Amber",O381="Red")),"Watermelon","")</f>
        <v/>
      </c>
      <c r="Q381" s="0" t="str">
        <f aca="false">IF(B381="","",IF(J381="","Missing",IF(J381&gt;A381+UpdateDue,"Late","On time")))</f>
        <v/>
      </c>
      <c r="R381" s="0" t="str">
        <f aca="false">IF(OR(B381="",D381=""),"",IF(COUNTIFS($B$6:$B$400,B381,$A$6:$A$400,EOMONTH(A381,-1))=0,"",IF(D381&lt;SUMIFS($D$6:$D$400,$B$6:$B$400,B381,$A$6:$A$400,EOMONTH(A381,-1)),"Dropped","")))</f>
        <v/>
      </c>
      <c r="S381" s="41" t="str">
        <f aca="false">IF(B381="","",B381&amp;"|"&amp;(YEAR(A381)*100+MONTH(A381)))</f>
        <v/>
      </c>
    </row>
    <row r="382" customFormat="false" ht="15" hidden="false" customHeight="false" outlineLevel="0" collapsed="false">
      <c r="A382" s="37"/>
      <c r="C382" s="0" t="str">
        <f aca="false">IF(B382="","",IFERROR(INDEX(Project_Register!$B$6:$B$40,MATCH(B382,Project_Register!$A$6:$A$40,0)),"Unknown ID"))</f>
        <v/>
      </c>
      <c r="D382" s="38"/>
      <c r="E382" s="24"/>
      <c r="F382" s="24"/>
      <c r="G382" s="39"/>
      <c r="J382" s="39"/>
      <c r="K382" s="38" t="str">
        <f aca="false">IF(OR(B382="",T382="On Hold"),"",MAX(0,MIN(1,(A382-INDEX(Project_Register!$G$6:$G$40,MATCH(B382,Project_Register!$A$6:$A$40,0)))/(INDEX(Project_Register!$H$6:$H$40,MATCH(B382,Project_Register!$A$6:$A$40,0))-INDEX(Project_Register!$G$6:$G$40,MATCH(B382,Project_Register!$A$6:$A$40,0))))))</f>
        <v/>
      </c>
      <c r="L382" s="40" t="str">
        <f aca="false">IF(OR(B382="",D382="",T382="On Hold"),"",ROUND((D382-K382)*100,0))</f>
        <v/>
      </c>
      <c r="M382" s="38" t="str">
        <f aca="false">IF(OR(B382="",F382=""),"",F382/INDEX(Project_Register!$I$6:$I$40,MATCH(B382,Project_Register!$A$6:$A$40,0)))</f>
        <v/>
      </c>
      <c r="N382" s="40" t="str">
        <f aca="false">IF(OR(B382="",G382="",T382="On Hold"),"",G382-INDEX(Project_Register!$H$6:$H$40,MATCH(B382,Project_Register!$A$6:$A$40,0)))</f>
        <v/>
      </c>
      <c r="O382" s="0" t="str">
        <f aca="false">IF(B382="","",IF(D382="","No update",IF(AND(T382&lt;&gt;"Active",D382&lt;1),T382,IF(D382&gt;=1,"Complete",IF(OR(L382&lt;=SV_Red,M382&gt;Cost_Red,N382&gt;Slip_Red),"Red",IF(OR(L382&lt;=SV_Amber,M382&gt;Cost_Amber,N382&gt;Slip_Amber),"Amber","Green"))))))</f>
        <v/>
      </c>
      <c r="P382" s="0" t="str">
        <f aca="false">IF(AND(H382="Green",OR(O382="Amber",O382="Red")),"Watermelon","")</f>
        <v/>
      </c>
      <c r="Q382" s="0" t="str">
        <f aca="false">IF(B382="","",IF(J382="","Missing",IF(J382&gt;A382+UpdateDue,"Late","On time")))</f>
        <v/>
      </c>
      <c r="R382" s="0" t="str">
        <f aca="false">IF(OR(B382="",D382=""),"",IF(COUNTIFS($B$6:$B$400,B382,$A$6:$A$400,EOMONTH(A382,-1))=0,"",IF(D382&lt;SUMIFS($D$6:$D$400,$B$6:$B$400,B382,$A$6:$A$400,EOMONTH(A382,-1)),"Dropped","")))</f>
        <v/>
      </c>
      <c r="S382" s="41" t="str">
        <f aca="false">IF(B382="","",B382&amp;"|"&amp;(YEAR(A382)*100+MONTH(A382)))</f>
        <v/>
      </c>
    </row>
    <row r="383" customFormat="false" ht="15" hidden="false" customHeight="false" outlineLevel="0" collapsed="false">
      <c r="A383" s="37"/>
      <c r="C383" s="0" t="str">
        <f aca="false">IF(B383="","",IFERROR(INDEX(Project_Register!$B$6:$B$40,MATCH(B383,Project_Register!$A$6:$A$40,0)),"Unknown ID"))</f>
        <v/>
      </c>
      <c r="D383" s="38"/>
      <c r="E383" s="24"/>
      <c r="F383" s="24"/>
      <c r="G383" s="39"/>
      <c r="J383" s="39"/>
      <c r="K383" s="38" t="str">
        <f aca="false">IF(OR(B383="",T383="On Hold"),"",MAX(0,MIN(1,(A383-INDEX(Project_Register!$G$6:$G$40,MATCH(B383,Project_Register!$A$6:$A$40,0)))/(INDEX(Project_Register!$H$6:$H$40,MATCH(B383,Project_Register!$A$6:$A$40,0))-INDEX(Project_Register!$G$6:$G$40,MATCH(B383,Project_Register!$A$6:$A$40,0))))))</f>
        <v/>
      </c>
      <c r="L383" s="40" t="str">
        <f aca="false">IF(OR(B383="",D383="",T383="On Hold"),"",ROUND((D383-K383)*100,0))</f>
        <v/>
      </c>
      <c r="M383" s="38" t="str">
        <f aca="false">IF(OR(B383="",F383=""),"",F383/INDEX(Project_Register!$I$6:$I$40,MATCH(B383,Project_Register!$A$6:$A$40,0)))</f>
        <v/>
      </c>
      <c r="N383" s="40" t="str">
        <f aca="false">IF(OR(B383="",G383="",T383="On Hold"),"",G383-INDEX(Project_Register!$H$6:$H$40,MATCH(B383,Project_Register!$A$6:$A$40,0)))</f>
        <v/>
      </c>
      <c r="O383" s="0" t="str">
        <f aca="false">IF(B383="","",IF(D383="","No update",IF(AND(T383&lt;&gt;"Active",D383&lt;1),T383,IF(D383&gt;=1,"Complete",IF(OR(L383&lt;=SV_Red,M383&gt;Cost_Red,N383&gt;Slip_Red),"Red",IF(OR(L383&lt;=SV_Amber,M383&gt;Cost_Amber,N383&gt;Slip_Amber),"Amber","Green"))))))</f>
        <v/>
      </c>
      <c r="P383" s="0" t="str">
        <f aca="false">IF(AND(H383="Green",OR(O383="Amber",O383="Red")),"Watermelon","")</f>
        <v/>
      </c>
      <c r="Q383" s="0" t="str">
        <f aca="false">IF(B383="","",IF(J383="","Missing",IF(J383&gt;A383+UpdateDue,"Late","On time")))</f>
        <v/>
      </c>
      <c r="R383" s="0" t="str">
        <f aca="false">IF(OR(B383="",D383=""),"",IF(COUNTIFS($B$6:$B$400,B383,$A$6:$A$400,EOMONTH(A383,-1))=0,"",IF(D383&lt;SUMIFS($D$6:$D$400,$B$6:$B$400,B383,$A$6:$A$400,EOMONTH(A383,-1)),"Dropped","")))</f>
        <v/>
      </c>
      <c r="S383" s="41" t="str">
        <f aca="false">IF(B383="","",B383&amp;"|"&amp;(YEAR(A383)*100+MONTH(A383)))</f>
        <v/>
      </c>
    </row>
    <row r="384" customFormat="false" ht="15" hidden="false" customHeight="false" outlineLevel="0" collapsed="false">
      <c r="A384" s="37"/>
      <c r="C384" s="0" t="str">
        <f aca="false">IF(B384="","",IFERROR(INDEX(Project_Register!$B$6:$B$40,MATCH(B384,Project_Register!$A$6:$A$40,0)),"Unknown ID"))</f>
        <v/>
      </c>
      <c r="D384" s="38"/>
      <c r="E384" s="24"/>
      <c r="F384" s="24"/>
      <c r="G384" s="39"/>
      <c r="J384" s="39"/>
      <c r="K384" s="38" t="str">
        <f aca="false">IF(OR(B384="",T384="On Hold"),"",MAX(0,MIN(1,(A384-INDEX(Project_Register!$G$6:$G$40,MATCH(B384,Project_Register!$A$6:$A$40,0)))/(INDEX(Project_Register!$H$6:$H$40,MATCH(B384,Project_Register!$A$6:$A$40,0))-INDEX(Project_Register!$G$6:$G$40,MATCH(B384,Project_Register!$A$6:$A$40,0))))))</f>
        <v/>
      </c>
      <c r="L384" s="40" t="str">
        <f aca="false">IF(OR(B384="",D384="",T384="On Hold"),"",ROUND((D384-K384)*100,0))</f>
        <v/>
      </c>
      <c r="M384" s="38" t="str">
        <f aca="false">IF(OR(B384="",F384=""),"",F384/INDEX(Project_Register!$I$6:$I$40,MATCH(B384,Project_Register!$A$6:$A$40,0)))</f>
        <v/>
      </c>
      <c r="N384" s="40" t="str">
        <f aca="false">IF(OR(B384="",G384="",T384="On Hold"),"",G384-INDEX(Project_Register!$H$6:$H$40,MATCH(B384,Project_Register!$A$6:$A$40,0)))</f>
        <v/>
      </c>
      <c r="O384" s="0" t="str">
        <f aca="false">IF(B384="","",IF(D384="","No update",IF(AND(T384&lt;&gt;"Active",D384&lt;1),T384,IF(D384&gt;=1,"Complete",IF(OR(L384&lt;=SV_Red,M384&gt;Cost_Red,N384&gt;Slip_Red),"Red",IF(OR(L384&lt;=SV_Amber,M384&gt;Cost_Amber,N384&gt;Slip_Amber),"Amber","Green"))))))</f>
        <v/>
      </c>
      <c r="P384" s="0" t="str">
        <f aca="false">IF(AND(H384="Green",OR(O384="Amber",O384="Red")),"Watermelon","")</f>
        <v/>
      </c>
      <c r="Q384" s="0" t="str">
        <f aca="false">IF(B384="","",IF(J384="","Missing",IF(J384&gt;A384+UpdateDue,"Late","On time")))</f>
        <v/>
      </c>
      <c r="R384" s="0" t="str">
        <f aca="false">IF(OR(B384="",D384=""),"",IF(COUNTIFS($B$6:$B$400,B384,$A$6:$A$400,EOMONTH(A384,-1))=0,"",IF(D384&lt;SUMIFS($D$6:$D$400,$B$6:$B$400,B384,$A$6:$A$400,EOMONTH(A384,-1)),"Dropped","")))</f>
        <v/>
      </c>
      <c r="S384" s="41" t="str">
        <f aca="false">IF(B384="","",B384&amp;"|"&amp;(YEAR(A384)*100+MONTH(A384)))</f>
        <v/>
      </c>
    </row>
    <row r="385" customFormat="false" ht="15" hidden="false" customHeight="false" outlineLevel="0" collapsed="false">
      <c r="A385" s="37"/>
      <c r="C385" s="0" t="str">
        <f aca="false">IF(B385="","",IFERROR(INDEX(Project_Register!$B$6:$B$40,MATCH(B385,Project_Register!$A$6:$A$40,0)),"Unknown ID"))</f>
        <v/>
      </c>
      <c r="D385" s="38"/>
      <c r="E385" s="24"/>
      <c r="F385" s="24"/>
      <c r="G385" s="39"/>
      <c r="J385" s="39"/>
      <c r="K385" s="38" t="str">
        <f aca="false">IF(OR(B385="",T385="On Hold"),"",MAX(0,MIN(1,(A385-INDEX(Project_Register!$G$6:$G$40,MATCH(B385,Project_Register!$A$6:$A$40,0)))/(INDEX(Project_Register!$H$6:$H$40,MATCH(B385,Project_Register!$A$6:$A$40,0))-INDEX(Project_Register!$G$6:$G$40,MATCH(B385,Project_Register!$A$6:$A$40,0))))))</f>
        <v/>
      </c>
      <c r="L385" s="40" t="str">
        <f aca="false">IF(OR(B385="",D385="",T385="On Hold"),"",ROUND((D385-K385)*100,0))</f>
        <v/>
      </c>
      <c r="M385" s="38" t="str">
        <f aca="false">IF(OR(B385="",F385=""),"",F385/INDEX(Project_Register!$I$6:$I$40,MATCH(B385,Project_Register!$A$6:$A$40,0)))</f>
        <v/>
      </c>
      <c r="N385" s="40" t="str">
        <f aca="false">IF(OR(B385="",G385="",T385="On Hold"),"",G385-INDEX(Project_Register!$H$6:$H$40,MATCH(B385,Project_Register!$A$6:$A$40,0)))</f>
        <v/>
      </c>
      <c r="O385" s="0" t="str">
        <f aca="false">IF(B385="","",IF(D385="","No update",IF(AND(T385&lt;&gt;"Active",D385&lt;1),T385,IF(D385&gt;=1,"Complete",IF(OR(L385&lt;=SV_Red,M385&gt;Cost_Red,N385&gt;Slip_Red),"Red",IF(OR(L385&lt;=SV_Amber,M385&gt;Cost_Amber,N385&gt;Slip_Amber),"Amber","Green"))))))</f>
        <v/>
      </c>
      <c r="P385" s="0" t="str">
        <f aca="false">IF(AND(H385="Green",OR(O385="Amber",O385="Red")),"Watermelon","")</f>
        <v/>
      </c>
      <c r="Q385" s="0" t="str">
        <f aca="false">IF(B385="","",IF(J385="","Missing",IF(J385&gt;A385+UpdateDue,"Late","On time")))</f>
        <v/>
      </c>
      <c r="R385" s="0" t="str">
        <f aca="false">IF(OR(B385="",D385=""),"",IF(COUNTIFS($B$6:$B$400,B385,$A$6:$A$400,EOMONTH(A385,-1))=0,"",IF(D385&lt;SUMIFS($D$6:$D$400,$B$6:$B$400,B385,$A$6:$A$400,EOMONTH(A385,-1)),"Dropped","")))</f>
        <v/>
      </c>
      <c r="S385" s="41" t="str">
        <f aca="false">IF(B385="","",B385&amp;"|"&amp;(YEAR(A385)*100+MONTH(A385)))</f>
        <v/>
      </c>
    </row>
    <row r="386" customFormat="false" ht="15" hidden="false" customHeight="false" outlineLevel="0" collapsed="false">
      <c r="A386" s="37"/>
      <c r="C386" s="0" t="str">
        <f aca="false">IF(B386="","",IFERROR(INDEX(Project_Register!$B$6:$B$40,MATCH(B386,Project_Register!$A$6:$A$40,0)),"Unknown ID"))</f>
        <v/>
      </c>
      <c r="D386" s="38"/>
      <c r="E386" s="24"/>
      <c r="F386" s="24"/>
      <c r="G386" s="39"/>
      <c r="J386" s="39"/>
      <c r="K386" s="38" t="str">
        <f aca="false">IF(OR(B386="",T386="On Hold"),"",MAX(0,MIN(1,(A386-INDEX(Project_Register!$G$6:$G$40,MATCH(B386,Project_Register!$A$6:$A$40,0)))/(INDEX(Project_Register!$H$6:$H$40,MATCH(B386,Project_Register!$A$6:$A$40,0))-INDEX(Project_Register!$G$6:$G$40,MATCH(B386,Project_Register!$A$6:$A$40,0))))))</f>
        <v/>
      </c>
      <c r="L386" s="40" t="str">
        <f aca="false">IF(OR(B386="",D386="",T386="On Hold"),"",ROUND((D386-K386)*100,0))</f>
        <v/>
      </c>
      <c r="M386" s="38" t="str">
        <f aca="false">IF(OR(B386="",F386=""),"",F386/INDEX(Project_Register!$I$6:$I$40,MATCH(B386,Project_Register!$A$6:$A$40,0)))</f>
        <v/>
      </c>
      <c r="N386" s="40" t="str">
        <f aca="false">IF(OR(B386="",G386="",T386="On Hold"),"",G386-INDEX(Project_Register!$H$6:$H$40,MATCH(B386,Project_Register!$A$6:$A$40,0)))</f>
        <v/>
      </c>
      <c r="O386" s="0" t="str">
        <f aca="false">IF(B386="","",IF(D386="","No update",IF(AND(T386&lt;&gt;"Active",D386&lt;1),T386,IF(D386&gt;=1,"Complete",IF(OR(L386&lt;=SV_Red,M386&gt;Cost_Red,N386&gt;Slip_Red),"Red",IF(OR(L386&lt;=SV_Amber,M386&gt;Cost_Amber,N386&gt;Slip_Amber),"Amber","Green"))))))</f>
        <v/>
      </c>
      <c r="P386" s="0" t="str">
        <f aca="false">IF(AND(H386="Green",OR(O386="Amber",O386="Red")),"Watermelon","")</f>
        <v/>
      </c>
      <c r="Q386" s="0" t="str">
        <f aca="false">IF(B386="","",IF(J386="","Missing",IF(J386&gt;A386+UpdateDue,"Late","On time")))</f>
        <v/>
      </c>
      <c r="R386" s="0" t="str">
        <f aca="false">IF(OR(B386="",D386=""),"",IF(COUNTIFS($B$6:$B$400,B386,$A$6:$A$400,EOMONTH(A386,-1))=0,"",IF(D386&lt;SUMIFS($D$6:$D$400,$B$6:$B$400,B386,$A$6:$A$400,EOMONTH(A386,-1)),"Dropped","")))</f>
        <v/>
      </c>
      <c r="S386" s="41" t="str">
        <f aca="false">IF(B386="","",B386&amp;"|"&amp;(YEAR(A386)*100+MONTH(A386)))</f>
        <v/>
      </c>
    </row>
    <row r="387" customFormat="false" ht="15" hidden="false" customHeight="false" outlineLevel="0" collapsed="false">
      <c r="A387" s="37"/>
      <c r="C387" s="0" t="str">
        <f aca="false">IF(B387="","",IFERROR(INDEX(Project_Register!$B$6:$B$40,MATCH(B387,Project_Register!$A$6:$A$40,0)),"Unknown ID"))</f>
        <v/>
      </c>
      <c r="D387" s="38"/>
      <c r="E387" s="24"/>
      <c r="F387" s="24"/>
      <c r="G387" s="39"/>
      <c r="J387" s="39"/>
      <c r="K387" s="38" t="str">
        <f aca="false">IF(OR(B387="",T387="On Hold"),"",MAX(0,MIN(1,(A387-INDEX(Project_Register!$G$6:$G$40,MATCH(B387,Project_Register!$A$6:$A$40,0)))/(INDEX(Project_Register!$H$6:$H$40,MATCH(B387,Project_Register!$A$6:$A$40,0))-INDEX(Project_Register!$G$6:$G$40,MATCH(B387,Project_Register!$A$6:$A$40,0))))))</f>
        <v/>
      </c>
      <c r="L387" s="40" t="str">
        <f aca="false">IF(OR(B387="",D387="",T387="On Hold"),"",ROUND((D387-K387)*100,0))</f>
        <v/>
      </c>
      <c r="M387" s="38" t="str">
        <f aca="false">IF(OR(B387="",F387=""),"",F387/INDEX(Project_Register!$I$6:$I$40,MATCH(B387,Project_Register!$A$6:$A$40,0)))</f>
        <v/>
      </c>
      <c r="N387" s="40" t="str">
        <f aca="false">IF(OR(B387="",G387="",T387="On Hold"),"",G387-INDEX(Project_Register!$H$6:$H$40,MATCH(B387,Project_Register!$A$6:$A$40,0)))</f>
        <v/>
      </c>
      <c r="O387" s="0" t="str">
        <f aca="false">IF(B387="","",IF(D387="","No update",IF(AND(T387&lt;&gt;"Active",D387&lt;1),T387,IF(D387&gt;=1,"Complete",IF(OR(L387&lt;=SV_Red,M387&gt;Cost_Red,N387&gt;Slip_Red),"Red",IF(OR(L387&lt;=SV_Amber,M387&gt;Cost_Amber,N387&gt;Slip_Amber),"Amber","Green"))))))</f>
        <v/>
      </c>
      <c r="P387" s="0" t="str">
        <f aca="false">IF(AND(H387="Green",OR(O387="Amber",O387="Red")),"Watermelon","")</f>
        <v/>
      </c>
      <c r="Q387" s="0" t="str">
        <f aca="false">IF(B387="","",IF(J387="","Missing",IF(J387&gt;A387+UpdateDue,"Late","On time")))</f>
        <v/>
      </c>
      <c r="R387" s="0" t="str">
        <f aca="false">IF(OR(B387="",D387=""),"",IF(COUNTIFS($B$6:$B$400,B387,$A$6:$A$400,EOMONTH(A387,-1))=0,"",IF(D387&lt;SUMIFS($D$6:$D$400,$B$6:$B$400,B387,$A$6:$A$400,EOMONTH(A387,-1)),"Dropped","")))</f>
        <v/>
      </c>
      <c r="S387" s="41" t="str">
        <f aca="false">IF(B387="","",B387&amp;"|"&amp;(YEAR(A387)*100+MONTH(A387)))</f>
        <v/>
      </c>
    </row>
    <row r="388" customFormat="false" ht="15" hidden="false" customHeight="false" outlineLevel="0" collapsed="false">
      <c r="A388" s="37"/>
      <c r="C388" s="0" t="str">
        <f aca="false">IF(B388="","",IFERROR(INDEX(Project_Register!$B$6:$B$40,MATCH(B388,Project_Register!$A$6:$A$40,0)),"Unknown ID"))</f>
        <v/>
      </c>
      <c r="D388" s="38"/>
      <c r="E388" s="24"/>
      <c r="F388" s="24"/>
      <c r="G388" s="39"/>
      <c r="J388" s="39"/>
      <c r="K388" s="38" t="str">
        <f aca="false">IF(OR(B388="",T388="On Hold"),"",MAX(0,MIN(1,(A388-INDEX(Project_Register!$G$6:$G$40,MATCH(B388,Project_Register!$A$6:$A$40,0)))/(INDEX(Project_Register!$H$6:$H$40,MATCH(B388,Project_Register!$A$6:$A$40,0))-INDEX(Project_Register!$G$6:$G$40,MATCH(B388,Project_Register!$A$6:$A$40,0))))))</f>
        <v/>
      </c>
      <c r="L388" s="40" t="str">
        <f aca="false">IF(OR(B388="",D388="",T388="On Hold"),"",ROUND((D388-K388)*100,0))</f>
        <v/>
      </c>
      <c r="M388" s="38" t="str">
        <f aca="false">IF(OR(B388="",F388=""),"",F388/INDEX(Project_Register!$I$6:$I$40,MATCH(B388,Project_Register!$A$6:$A$40,0)))</f>
        <v/>
      </c>
      <c r="N388" s="40" t="str">
        <f aca="false">IF(OR(B388="",G388="",T388="On Hold"),"",G388-INDEX(Project_Register!$H$6:$H$40,MATCH(B388,Project_Register!$A$6:$A$40,0)))</f>
        <v/>
      </c>
      <c r="O388" s="0" t="str">
        <f aca="false">IF(B388="","",IF(D388="","No update",IF(AND(T388&lt;&gt;"Active",D388&lt;1),T388,IF(D388&gt;=1,"Complete",IF(OR(L388&lt;=SV_Red,M388&gt;Cost_Red,N388&gt;Slip_Red),"Red",IF(OR(L388&lt;=SV_Amber,M388&gt;Cost_Amber,N388&gt;Slip_Amber),"Amber","Green"))))))</f>
        <v/>
      </c>
      <c r="P388" s="0" t="str">
        <f aca="false">IF(AND(H388="Green",OR(O388="Amber",O388="Red")),"Watermelon","")</f>
        <v/>
      </c>
      <c r="Q388" s="0" t="str">
        <f aca="false">IF(B388="","",IF(J388="","Missing",IF(J388&gt;A388+UpdateDue,"Late","On time")))</f>
        <v/>
      </c>
      <c r="R388" s="0" t="str">
        <f aca="false">IF(OR(B388="",D388=""),"",IF(COUNTIFS($B$6:$B$400,B388,$A$6:$A$400,EOMONTH(A388,-1))=0,"",IF(D388&lt;SUMIFS($D$6:$D$400,$B$6:$B$400,B388,$A$6:$A$400,EOMONTH(A388,-1)),"Dropped","")))</f>
        <v/>
      </c>
      <c r="S388" s="41" t="str">
        <f aca="false">IF(B388="","",B388&amp;"|"&amp;(YEAR(A388)*100+MONTH(A388)))</f>
        <v/>
      </c>
    </row>
    <row r="389" customFormat="false" ht="15" hidden="false" customHeight="false" outlineLevel="0" collapsed="false">
      <c r="A389" s="37"/>
      <c r="C389" s="0" t="str">
        <f aca="false">IF(B389="","",IFERROR(INDEX(Project_Register!$B$6:$B$40,MATCH(B389,Project_Register!$A$6:$A$40,0)),"Unknown ID"))</f>
        <v/>
      </c>
      <c r="D389" s="38"/>
      <c r="E389" s="24"/>
      <c r="F389" s="24"/>
      <c r="G389" s="39"/>
      <c r="J389" s="39"/>
      <c r="K389" s="38" t="str">
        <f aca="false">IF(OR(B389="",T389="On Hold"),"",MAX(0,MIN(1,(A389-INDEX(Project_Register!$G$6:$G$40,MATCH(B389,Project_Register!$A$6:$A$40,0)))/(INDEX(Project_Register!$H$6:$H$40,MATCH(B389,Project_Register!$A$6:$A$40,0))-INDEX(Project_Register!$G$6:$G$40,MATCH(B389,Project_Register!$A$6:$A$40,0))))))</f>
        <v/>
      </c>
      <c r="L389" s="40" t="str">
        <f aca="false">IF(OR(B389="",D389="",T389="On Hold"),"",ROUND((D389-K389)*100,0))</f>
        <v/>
      </c>
      <c r="M389" s="38" t="str">
        <f aca="false">IF(OR(B389="",F389=""),"",F389/INDEX(Project_Register!$I$6:$I$40,MATCH(B389,Project_Register!$A$6:$A$40,0)))</f>
        <v/>
      </c>
      <c r="N389" s="40" t="str">
        <f aca="false">IF(OR(B389="",G389="",T389="On Hold"),"",G389-INDEX(Project_Register!$H$6:$H$40,MATCH(B389,Project_Register!$A$6:$A$40,0)))</f>
        <v/>
      </c>
      <c r="O389" s="0" t="str">
        <f aca="false">IF(B389="","",IF(D389="","No update",IF(AND(T389&lt;&gt;"Active",D389&lt;1),T389,IF(D389&gt;=1,"Complete",IF(OR(L389&lt;=SV_Red,M389&gt;Cost_Red,N389&gt;Slip_Red),"Red",IF(OR(L389&lt;=SV_Amber,M389&gt;Cost_Amber,N389&gt;Slip_Amber),"Amber","Green"))))))</f>
        <v/>
      </c>
      <c r="P389" s="0" t="str">
        <f aca="false">IF(AND(H389="Green",OR(O389="Amber",O389="Red")),"Watermelon","")</f>
        <v/>
      </c>
      <c r="Q389" s="0" t="str">
        <f aca="false">IF(B389="","",IF(J389="","Missing",IF(J389&gt;A389+UpdateDue,"Late","On time")))</f>
        <v/>
      </c>
      <c r="R389" s="0" t="str">
        <f aca="false">IF(OR(B389="",D389=""),"",IF(COUNTIFS($B$6:$B$400,B389,$A$6:$A$400,EOMONTH(A389,-1))=0,"",IF(D389&lt;SUMIFS($D$6:$D$400,$B$6:$B$400,B389,$A$6:$A$400,EOMONTH(A389,-1)),"Dropped","")))</f>
        <v/>
      </c>
      <c r="S389" s="41" t="str">
        <f aca="false">IF(B389="","",B389&amp;"|"&amp;(YEAR(A389)*100+MONTH(A389)))</f>
        <v/>
      </c>
    </row>
    <row r="390" customFormat="false" ht="15" hidden="false" customHeight="false" outlineLevel="0" collapsed="false">
      <c r="A390" s="37"/>
      <c r="C390" s="0" t="str">
        <f aca="false">IF(B390="","",IFERROR(INDEX(Project_Register!$B$6:$B$40,MATCH(B390,Project_Register!$A$6:$A$40,0)),"Unknown ID"))</f>
        <v/>
      </c>
      <c r="D390" s="38"/>
      <c r="E390" s="24"/>
      <c r="F390" s="24"/>
      <c r="G390" s="39"/>
      <c r="J390" s="39"/>
      <c r="K390" s="38" t="str">
        <f aca="false">IF(OR(B390="",T390="On Hold"),"",MAX(0,MIN(1,(A390-INDEX(Project_Register!$G$6:$G$40,MATCH(B390,Project_Register!$A$6:$A$40,0)))/(INDEX(Project_Register!$H$6:$H$40,MATCH(B390,Project_Register!$A$6:$A$40,0))-INDEX(Project_Register!$G$6:$G$40,MATCH(B390,Project_Register!$A$6:$A$40,0))))))</f>
        <v/>
      </c>
      <c r="L390" s="40" t="str">
        <f aca="false">IF(OR(B390="",D390="",T390="On Hold"),"",ROUND((D390-K390)*100,0))</f>
        <v/>
      </c>
      <c r="M390" s="38" t="str">
        <f aca="false">IF(OR(B390="",F390=""),"",F390/INDEX(Project_Register!$I$6:$I$40,MATCH(B390,Project_Register!$A$6:$A$40,0)))</f>
        <v/>
      </c>
      <c r="N390" s="40" t="str">
        <f aca="false">IF(OR(B390="",G390="",T390="On Hold"),"",G390-INDEX(Project_Register!$H$6:$H$40,MATCH(B390,Project_Register!$A$6:$A$40,0)))</f>
        <v/>
      </c>
      <c r="O390" s="0" t="str">
        <f aca="false">IF(B390="","",IF(D390="","No update",IF(AND(T390&lt;&gt;"Active",D390&lt;1),T390,IF(D390&gt;=1,"Complete",IF(OR(L390&lt;=SV_Red,M390&gt;Cost_Red,N390&gt;Slip_Red),"Red",IF(OR(L390&lt;=SV_Amber,M390&gt;Cost_Amber,N390&gt;Slip_Amber),"Amber","Green"))))))</f>
        <v/>
      </c>
      <c r="P390" s="0" t="str">
        <f aca="false">IF(AND(H390="Green",OR(O390="Amber",O390="Red")),"Watermelon","")</f>
        <v/>
      </c>
      <c r="Q390" s="0" t="str">
        <f aca="false">IF(B390="","",IF(J390="","Missing",IF(J390&gt;A390+UpdateDue,"Late","On time")))</f>
        <v/>
      </c>
      <c r="R390" s="0" t="str">
        <f aca="false">IF(OR(B390="",D390=""),"",IF(COUNTIFS($B$6:$B$400,B390,$A$6:$A$400,EOMONTH(A390,-1))=0,"",IF(D390&lt;SUMIFS($D$6:$D$400,$B$6:$B$400,B390,$A$6:$A$400,EOMONTH(A390,-1)),"Dropped","")))</f>
        <v/>
      </c>
      <c r="S390" s="41" t="str">
        <f aca="false">IF(B390="","",B390&amp;"|"&amp;(YEAR(A390)*100+MONTH(A390)))</f>
        <v/>
      </c>
    </row>
    <row r="391" customFormat="false" ht="15" hidden="false" customHeight="false" outlineLevel="0" collapsed="false">
      <c r="A391" s="37"/>
      <c r="C391" s="0" t="str">
        <f aca="false">IF(B391="","",IFERROR(INDEX(Project_Register!$B$6:$B$40,MATCH(B391,Project_Register!$A$6:$A$40,0)),"Unknown ID"))</f>
        <v/>
      </c>
      <c r="D391" s="38"/>
      <c r="E391" s="24"/>
      <c r="F391" s="24"/>
      <c r="G391" s="39"/>
      <c r="J391" s="39"/>
      <c r="K391" s="38" t="str">
        <f aca="false">IF(OR(B391="",T391="On Hold"),"",MAX(0,MIN(1,(A391-INDEX(Project_Register!$G$6:$G$40,MATCH(B391,Project_Register!$A$6:$A$40,0)))/(INDEX(Project_Register!$H$6:$H$40,MATCH(B391,Project_Register!$A$6:$A$40,0))-INDEX(Project_Register!$G$6:$G$40,MATCH(B391,Project_Register!$A$6:$A$40,0))))))</f>
        <v/>
      </c>
      <c r="L391" s="40" t="str">
        <f aca="false">IF(OR(B391="",D391="",T391="On Hold"),"",ROUND((D391-K391)*100,0))</f>
        <v/>
      </c>
      <c r="M391" s="38" t="str">
        <f aca="false">IF(OR(B391="",F391=""),"",F391/INDEX(Project_Register!$I$6:$I$40,MATCH(B391,Project_Register!$A$6:$A$40,0)))</f>
        <v/>
      </c>
      <c r="N391" s="40" t="str">
        <f aca="false">IF(OR(B391="",G391="",T391="On Hold"),"",G391-INDEX(Project_Register!$H$6:$H$40,MATCH(B391,Project_Register!$A$6:$A$40,0)))</f>
        <v/>
      </c>
      <c r="O391" s="0" t="str">
        <f aca="false">IF(B391="","",IF(D391="","No update",IF(AND(T391&lt;&gt;"Active",D391&lt;1),T391,IF(D391&gt;=1,"Complete",IF(OR(L391&lt;=SV_Red,M391&gt;Cost_Red,N391&gt;Slip_Red),"Red",IF(OR(L391&lt;=SV_Amber,M391&gt;Cost_Amber,N391&gt;Slip_Amber),"Amber","Green"))))))</f>
        <v/>
      </c>
      <c r="P391" s="0" t="str">
        <f aca="false">IF(AND(H391="Green",OR(O391="Amber",O391="Red")),"Watermelon","")</f>
        <v/>
      </c>
      <c r="Q391" s="0" t="str">
        <f aca="false">IF(B391="","",IF(J391="","Missing",IF(J391&gt;A391+UpdateDue,"Late","On time")))</f>
        <v/>
      </c>
      <c r="R391" s="0" t="str">
        <f aca="false">IF(OR(B391="",D391=""),"",IF(COUNTIFS($B$6:$B$400,B391,$A$6:$A$400,EOMONTH(A391,-1))=0,"",IF(D391&lt;SUMIFS($D$6:$D$400,$B$6:$B$400,B391,$A$6:$A$400,EOMONTH(A391,-1)),"Dropped","")))</f>
        <v/>
      </c>
      <c r="S391" s="41" t="str">
        <f aca="false">IF(B391="","",B391&amp;"|"&amp;(YEAR(A391)*100+MONTH(A391)))</f>
        <v/>
      </c>
    </row>
    <row r="392" customFormat="false" ht="15" hidden="false" customHeight="false" outlineLevel="0" collapsed="false">
      <c r="A392" s="37"/>
      <c r="C392" s="0" t="str">
        <f aca="false">IF(B392="","",IFERROR(INDEX(Project_Register!$B$6:$B$40,MATCH(B392,Project_Register!$A$6:$A$40,0)),"Unknown ID"))</f>
        <v/>
      </c>
      <c r="D392" s="38"/>
      <c r="E392" s="24"/>
      <c r="F392" s="24"/>
      <c r="G392" s="39"/>
      <c r="J392" s="39"/>
      <c r="K392" s="38" t="str">
        <f aca="false">IF(OR(B392="",T392="On Hold"),"",MAX(0,MIN(1,(A392-INDEX(Project_Register!$G$6:$G$40,MATCH(B392,Project_Register!$A$6:$A$40,0)))/(INDEX(Project_Register!$H$6:$H$40,MATCH(B392,Project_Register!$A$6:$A$40,0))-INDEX(Project_Register!$G$6:$G$40,MATCH(B392,Project_Register!$A$6:$A$40,0))))))</f>
        <v/>
      </c>
      <c r="L392" s="40" t="str">
        <f aca="false">IF(OR(B392="",D392="",T392="On Hold"),"",ROUND((D392-K392)*100,0))</f>
        <v/>
      </c>
      <c r="M392" s="38" t="str">
        <f aca="false">IF(OR(B392="",F392=""),"",F392/INDEX(Project_Register!$I$6:$I$40,MATCH(B392,Project_Register!$A$6:$A$40,0)))</f>
        <v/>
      </c>
      <c r="N392" s="40" t="str">
        <f aca="false">IF(OR(B392="",G392="",T392="On Hold"),"",G392-INDEX(Project_Register!$H$6:$H$40,MATCH(B392,Project_Register!$A$6:$A$40,0)))</f>
        <v/>
      </c>
      <c r="O392" s="0" t="str">
        <f aca="false">IF(B392="","",IF(D392="","No update",IF(AND(T392&lt;&gt;"Active",D392&lt;1),T392,IF(D392&gt;=1,"Complete",IF(OR(L392&lt;=SV_Red,M392&gt;Cost_Red,N392&gt;Slip_Red),"Red",IF(OR(L392&lt;=SV_Amber,M392&gt;Cost_Amber,N392&gt;Slip_Amber),"Amber","Green"))))))</f>
        <v/>
      </c>
      <c r="P392" s="0" t="str">
        <f aca="false">IF(AND(H392="Green",OR(O392="Amber",O392="Red")),"Watermelon","")</f>
        <v/>
      </c>
      <c r="Q392" s="0" t="str">
        <f aca="false">IF(B392="","",IF(J392="","Missing",IF(J392&gt;A392+UpdateDue,"Late","On time")))</f>
        <v/>
      </c>
      <c r="R392" s="0" t="str">
        <f aca="false">IF(OR(B392="",D392=""),"",IF(COUNTIFS($B$6:$B$400,B392,$A$6:$A$400,EOMONTH(A392,-1))=0,"",IF(D392&lt;SUMIFS($D$6:$D$400,$B$6:$B$400,B392,$A$6:$A$400,EOMONTH(A392,-1)),"Dropped","")))</f>
        <v/>
      </c>
      <c r="S392" s="41" t="str">
        <f aca="false">IF(B392="","",B392&amp;"|"&amp;(YEAR(A392)*100+MONTH(A392)))</f>
        <v/>
      </c>
    </row>
    <row r="393" customFormat="false" ht="15" hidden="false" customHeight="false" outlineLevel="0" collapsed="false">
      <c r="A393" s="37"/>
      <c r="C393" s="0" t="str">
        <f aca="false">IF(B393="","",IFERROR(INDEX(Project_Register!$B$6:$B$40,MATCH(B393,Project_Register!$A$6:$A$40,0)),"Unknown ID"))</f>
        <v/>
      </c>
      <c r="D393" s="38"/>
      <c r="E393" s="24"/>
      <c r="F393" s="24"/>
      <c r="G393" s="39"/>
      <c r="J393" s="39"/>
      <c r="K393" s="38" t="str">
        <f aca="false">IF(OR(B393="",T393="On Hold"),"",MAX(0,MIN(1,(A393-INDEX(Project_Register!$G$6:$G$40,MATCH(B393,Project_Register!$A$6:$A$40,0)))/(INDEX(Project_Register!$H$6:$H$40,MATCH(B393,Project_Register!$A$6:$A$40,0))-INDEX(Project_Register!$G$6:$G$40,MATCH(B393,Project_Register!$A$6:$A$40,0))))))</f>
        <v/>
      </c>
      <c r="L393" s="40" t="str">
        <f aca="false">IF(OR(B393="",D393="",T393="On Hold"),"",ROUND((D393-K393)*100,0))</f>
        <v/>
      </c>
      <c r="M393" s="38" t="str">
        <f aca="false">IF(OR(B393="",F393=""),"",F393/INDEX(Project_Register!$I$6:$I$40,MATCH(B393,Project_Register!$A$6:$A$40,0)))</f>
        <v/>
      </c>
      <c r="N393" s="40" t="str">
        <f aca="false">IF(OR(B393="",G393="",T393="On Hold"),"",G393-INDEX(Project_Register!$H$6:$H$40,MATCH(B393,Project_Register!$A$6:$A$40,0)))</f>
        <v/>
      </c>
      <c r="O393" s="0" t="str">
        <f aca="false">IF(B393="","",IF(D393="","No update",IF(AND(T393&lt;&gt;"Active",D393&lt;1),T393,IF(D393&gt;=1,"Complete",IF(OR(L393&lt;=SV_Red,M393&gt;Cost_Red,N393&gt;Slip_Red),"Red",IF(OR(L393&lt;=SV_Amber,M393&gt;Cost_Amber,N393&gt;Slip_Amber),"Amber","Green"))))))</f>
        <v/>
      </c>
      <c r="P393" s="0" t="str">
        <f aca="false">IF(AND(H393="Green",OR(O393="Amber",O393="Red")),"Watermelon","")</f>
        <v/>
      </c>
      <c r="Q393" s="0" t="str">
        <f aca="false">IF(B393="","",IF(J393="","Missing",IF(J393&gt;A393+UpdateDue,"Late","On time")))</f>
        <v/>
      </c>
      <c r="R393" s="0" t="str">
        <f aca="false">IF(OR(B393="",D393=""),"",IF(COUNTIFS($B$6:$B$400,B393,$A$6:$A$400,EOMONTH(A393,-1))=0,"",IF(D393&lt;SUMIFS($D$6:$D$400,$B$6:$B$400,B393,$A$6:$A$400,EOMONTH(A393,-1)),"Dropped","")))</f>
        <v/>
      </c>
      <c r="S393" s="41" t="str">
        <f aca="false">IF(B393="","",B393&amp;"|"&amp;(YEAR(A393)*100+MONTH(A393)))</f>
        <v/>
      </c>
    </row>
    <row r="394" customFormat="false" ht="15" hidden="false" customHeight="false" outlineLevel="0" collapsed="false">
      <c r="A394" s="37"/>
      <c r="C394" s="0" t="str">
        <f aca="false">IF(B394="","",IFERROR(INDEX(Project_Register!$B$6:$B$40,MATCH(B394,Project_Register!$A$6:$A$40,0)),"Unknown ID"))</f>
        <v/>
      </c>
      <c r="D394" s="38"/>
      <c r="E394" s="24"/>
      <c r="F394" s="24"/>
      <c r="G394" s="39"/>
      <c r="J394" s="39"/>
      <c r="K394" s="38" t="str">
        <f aca="false">IF(OR(B394="",T394="On Hold"),"",MAX(0,MIN(1,(A394-INDEX(Project_Register!$G$6:$G$40,MATCH(B394,Project_Register!$A$6:$A$40,0)))/(INDEX(Project_Register!$H$6:$H$40,MATCH(B394,Project_Register!$A$6:$A$40,0))-INDEX(Project_Register!$G$6:$G$40,MATCH(B394,Project_Register!$A$6:$A$40,0))))))</f>
        <v/>
      </c>
      <c r="L394" s="40" t="str">
        <f aca="false">IF(OR(B394="",D394="",T394="On Hold"),"",ROUND((D394-K394)*100,0))</f>
        <v/>
      </c>
      <c r="M394" s="38" t="str">
        <f aca="false">IF(OR(B394="",F394=""),"",F394/INDEX(Project_Register!$I$6:$I$40,MATCH(B394,Project_Register!$A$6:$A$40,0)))</f>
        <v/>
      </c>
      <c r="N394" s="40" t="str">
        <f aca="false">IF(OR(B394="",G394="",T394="On Hold"),"",G394-INDEX(Project_Register!$H$6:$H$40,MATCH(B394,Project_Register!$A$6:$A$40,0)))</f>
        <v/>
      </c>
      <c r="O394" s="0" t="str">
        <f aca="false">IF(B394="","",IF(D394="","No update",IF(AND(T394&lt;&gt;"Active",D394&lt;1),T394,IF(D394&gt;=1,"Complete",IF(OR(L394&lt;=SV_Red,M394&gt;Cost_Red,N394&gt;Slip_Red),"Red",IF(OR(L394&lt;=SV_Amber,M394&gt;Cost_Amber,N394&gt;Slip_Amber),"Amber","Green"))))))</f>
        <v/>
      </c>
      <c r="P394" s="0" t="str">
        <f aca="false">IF(AND(H394="Green",OR(O394="Amber",O394="Red")),"Watermelon","")</f>
        <v/>
      </c>
      <c r="Q394" s="0" t="str">
        <f aca="false">IF(B394="","",IF(J394="","Missing",IF(J394&gt;A394+UpdateDue,"Late","On time")))</f>
        <v/>
      </c>
      <c r="R394" s="0" t="str">
        <f aca="false">IF(OR(B394="",D394=""),"",IF(COUNTIFS($B$6:$B$400,B394,$A$6:$A$400,EOMONTH(A394,-1))=0,"",IF(D394&lt;SUMIFS($D$6:$D$400,$B$6:$B$400,B394,$A$6:$A$400,EOMONTH(A394,-1)),"Dropped","")))</f>
        <v/>
      </c>
      <c r="S394" s="41" t="str">
        <f aca="false">IF(B394="","",B394&amp;"|"&amp;(YEAR(A394)*100+MONTH(A394)))</f>
        <v/>
      </c>
    </row>
    <row r="395" customFormat="false" ht="15" hidden="false" customHeight="false" outlineLevel="0" collapsed="false">
      <c r="A395" s="37"/>
      <c r="C395" s="0" t="str">
        <f aca="false">IF(B395="","",IFERROR(INDEX(Project_Register!$B$6:$B$40,MATCH(B395,Project_Register!$A$6:$A$40,0)),"Unknown ID"))</f>
        <v/>
      </c>
      <c r="D395" s="38"/>
      <c r="E395" s="24"/>
      <c r="F395" s="24"/>
      <c r="G395" s="39"/>
      <c r="J395" s="39"/>
      <c r="K395" s="38" t="str">
        <f aca="false">IF(OR(B395="",T395="On Hold"),"",MAX(0,MIN(1,(A395-INDEX(Project_Register!$G$6:$G$40,MATCH(B395,Project_Register!$A$6:$A$40,0)))/(INDEX(Project_Register!$H$6:$H$40,MATCH(B395,Project_Register!$A$6:$A$40,0))-INDEX(Project_Register!$G$6:$G$40,MATCH(B395,Project_Register!$A$6:$A$40,0))))))</f>
        <v/>
      </c>
      <c r="L395" s="40" t="str">
        <f aca="false">IF(OR(B395="",D395="",T395="On Hold"),"",ROUND((D395-K395)*100,0))</f>
        <v/>
      </c>
      <c r="M395" s="38" t="str">
        <f aca="false">IF(OR(B395="",F395=""),"",F395/INDEX(Project_Register!$I$6:$I$40,MATCH(B395,Project_Register!$A$6:$A$40,0)))</f>
        <v/>
      </c>
      <c r="N395" s="40" t="str">
        <f aca="false">IF(OR(B395="",G395="",T395="On Hold"),"",G395-INDEX(Project_Register!$H$6:$H$40,MATCH(B395,Project_Register!$A$6:$A$40,0)))</f>
        <v/>
      </c>
      <c r="O395" s="0" t="str">
        <f aca="false">IF(B395="","",IF(D395="","No update",IF(AND(T395&lt;&gt;"Active",D395&lt;1),T395,IF(D395&gt;=1,"Complete",IF(OR(L395&lt;=SV_Red,M395&gt;Cost_Red,N395&gt;Slip_Red),"Red",IF(OR(L395&lt;=SV_Amber,M395&gt;Cost_Amber,N395&gt;Slip_Amber),"Amber","Green"))))))</f>
        <v/>
      </c>
      <c r="P395" s="0" t="str">
        <f aca="false">IF(AND(H395="Green",OR(O395="Amber",O395="Red")),"Watermelon","")</f>
        <v/>
      </c>
      <c r="Q395" s="0" t="str">
        <f aca="false">IF(B395="","",IF(J395="","Missing",IF(J395&gt;A395+UpdateDue,"Late","On time")))</f>
        <v/>
      </c>
      <c r="R395" s="0" t="str">
        <f aca="false">IF(OR(B395="",D395=""),"",IF(COUNTIFS($B$6:$B$400,B395,$A$6:$A$400,EOMONTH(A395,-1))=0,"",IF(D395&lt;SUMIFS($D$6:$D$400,$B$6:$B$400,B395,$A$6:$A$400,EOMONTH(A395,-1)),"Dropped","")))</f>
        <v/>
      </c>
      <c r="S395" s="41" t="str">
        <f aca="false">IF(B395="","",B395&amp;"|"&amp;(YEAR(A395)*100+MONTH(A395)))</f>
        <v/>
      </c>
    </row>
    <row r="396" customFormat="false" ht="15" hidden="false" customHeight="false" outlineLevel="0" collapsed="false">
      <c r="A396" s="37"/>
      <c r="C396" s="0" t="str">
        <f aca="false">IF(B396="","",IFERROR(INDEX(Project_Register!$B$6:$B$40,MATCH(B396,Project_Register!$A$6:$A$40,0)),"Unknown ID"))</f>
        <v/>
      </c>
      <c r="D396" s="38"/>
      <c r="E396" s="24"/>
      <c r="F396" s="24"/>
      <c r="G396" s="39"/>
      <c r="J396" s="39"/>
      <c r="K396" s="38" t="str">
        <f aca="false">IF(OR(B396="",T396="On Hold"),"",MAX(0,MIN(1,(A396-INDEX(Project_Register!$G$6:$G$40,MATCH(B396,Project_Register!$A$6:$A$40,0)))/(INDEX(Project_Register!$H$6:$H$40,MATCH(B396,Project_Register!$A$6:$A$40,0))-INDEX(Project_Register!$G$6:$G$40,MATCH(B396,Project_Register!$A$6:$A$40,0))))))</f>
        <v/>
      </c>
      <c r="L396" s="40" t="str">
        <f aca="false">IF(OR(B396="",D396="",T396="On Hold"),"",ROUND((D396-K396)*100,0))</f>
        <v/>
      </c>
      <c r="M396" s="38" t="str">
        <f aca="false">IF(OR(B396="",F396=""),"",F396/INDEX(Project_Register!$I$6:$I$40,MATCH(B396,Project_Register!$A$6:$A$40,0)))</f>
        <v/>
      </c>
      <c r="N396" s="40" t="str">
        <f aca="false">IF(OR(B396="",G396="",T396="On Hold"),"",G396-INDEX(Project_Register!$H$6:$H$40,MATCH(B396,Project_Register!$A$6:$A$40,0)))</f>
        <v/>
      </c>
      <c r="O396" s="0" t="str">
        <f aca="false">IF(B396="","",IF(D396="","No update",IF(AND(T396&lt;&gt;"Active",D396&lt;1),T396,IF(D396&gt;=1,"Complete",IF(OR(L396&lt;=SV_Red,M396&gt;Cost_Red,N396&gt;Slip_Red),"Red",IF(OR(L396&lt;=SV_Amber,M396&gt;Cost_Amber,N396&gt;Slip_Amber),"Amber","Green"))))))</f>
        <v/>
      </c>
      <c r="P396" s="0" t="str">
        <f aca="false">IF(AND(H396="Green",OR(O396="Amber",O396="Red")),"Watermelon","")</f>
        <v/>
      </c>
      <c r="Q396" s="0" t="str">
        <f aca="false">IF(B396="","",IF(J396="","Missing",IF(J396&gt;A396+UpdateDue,"Late","On time")))</f>
        <v/>
      </c>
      <c r="R396" s="0" t="str">
        <f aca="false">IF(OR(B396="",D396=""),"",IF(COUNTIFS($B$6:$B$400,B396,$A$6:$A$400,EOMONTH(A396,-1))=0,"",IF(D396&lt;SUMIFS($D$6:$D$400,$B$6:$B$400,B396,$A$6:$A$400,EOMONTH(A396,-1)),"Dropped","")))</f>
        <v/>
      </c>
      <c r="S396" s="41" t="str">
        <f aca="false">IF(B396="","",B396&amp;"|"&amp;(YEAR(A396)*100+MONTH(A396)))</f>
        <v/>
      </c>
    </row>
    <row r="397" customFormat="false" ht="15" hidden="false" customHeight="false" outlineLevel="0" collapsed="false">
      <c r="A397" s="37"/>
      <c r="C397" s="0" t="str">
        <f aca="false">IF(B397="","",IFERROR(INDEX(Project_Register!$B$6:$B$40,MATCH(B397,Project_Register!$A$6:$A$40,0)),"Unknown ID"))</f>
        <v/>
      </c>
      <c r="D397" s="38"/>
      <c r="E397" s="24"/>
      <c r="F397" s="24"/>
      <c r="G397" s="39"/>
      <c r="J397" s="39"/>
      <c r="K397" s="38" t="str">
        <f aca="false">IF(OR(B397="",T397="On Hold"),"",MAX(0,MIN(1,(A397-INDEX(Project_Register!$G$6:$G$40,MATCH(B397,Project_Register!$A$6:$A$40,0)))/(INDEX(Project_Register!$H$6:$H$40,MATCH(B397,Project_Register!$A$6:$A$40,0))-INDEX(Project_Register!$G$6:$G$40,MATCH(B397,Project_Register!$A$6:$A$40,0))))))</f>
        <v/>
      </c>
      <c r="L397" s="40" t="str">
        <f aca="false">IF(OR(B397="",D397="",T397="On Hold"),"",ROUND((D397-K397)*100,0))</f>
        <v/>
      </c>
      <c r="M397" s="38" t="str">
        <f aca="false">IF(OR(B397="",F397=""),"",F397/INDEX(Project_Register!$I$6:$I$40,MATCH(B397,Project_Register!$A$6:$A$40,0)))</f>
        <v/>
      </c>
      <c r="N397" s="40" t="str">
        <f aca="false">IF(OR(B397="",G397="",T397="On Hold"),"",G397-INDEX(Project_Register!$H$6:$H$40,MATCH(B397,Project_Register!$A$6:$A$40,0)))</f>
        <v/>
      </c>
      <c r="O397" s="0" t="str">
        <f aca="false">IF(B397="","",IF(D397="","No update",IF(AND(T397&lt;&gt;"Active",D397&lt;1),T397,IF(D397&gt;=1,"Complete",IF(OR(L397&lt;=SV_Red,M397&gt;Cost_Red,N397&gt;Slip_Red),"Red",IF(OR(L397&lt;=SV_Amber,M397&gt;Cost_Amber,N397&gt;Slip_Amber),"Amber","Green"))))))</f>
        <v/>
      </c>
      <c r="P397" s="0" t="str">
        <f aca="false">IF(AND(H397="Green",OR(O397="Amber",O397="Red")),"Watermelon","")</f>
        <v/>
      </c>
      <c r="Q397" s="0" t="str">
        <f aca="false">IF(B397="","",IF(J397="","Missing",IF(J397&gt;A397+UpdateDue,"Late","On time")))</f>
        <v/>
      </c>
      <c r="R397" s="0" t="str">
        <f aca="false">IF(OR(B397="",D397=""),"",IF(COUNTIFS($B$6:$B$400,B397,$A$6:$A$400,EOMONTH(A397,-1))=0,"",IF(D397&lt;SUMIFS($D$6:$D$400,$B$6:$B$400,B397,$A$6:$A$400,EOMONTH(A397,-1)),"Dropped","")))</f>
        <v/>
      </c>
      <c r="S397" s="41" t="str">
        <f aca="false">IF(B397="","",B397&amp;"|"&amp;(YEAR(A397)*100+MONTH(A397)))</f>
        <v/>
      </c>
    </row>
    <row r="398" customFormat="false" ht="15" hidden="false" customHeight="false" outlineLevel="0" collapsed="false">
      <c r="A398" s="37"/>
      <c r="C398" s="0" t="str">
        <f aca="false">IF(B398="","",IFERROR(INDEX(Project_Register!$B$6:$B$40,MATCH(B398,Project_Register!$A$6:$A$40,0)),"Unknown ID"))</f>
        <v/>
      </c>
      <c r="D398" s="38"/>
      <c r="E398" s="24"/>
      <c r="F398" s="24"/>
      <c r="G398" s="39"/>
      <c r="J398" s="39"/>
      <c r="K398" s="38" t="str">
        <f aca="false">IF(OR(B398="",T398="On Hold"),"",MAX(0,MIN(1,(A398-INDEX(Project_Register!$G$6:$G$40,MATCH(B398,Project_Register!$A$6:$A$40,0)))/(INDEX(Project_Register!$H$6:$H$40,MATCH(B398,Project_Register!$A$6:$A$40,0))-INDEX(Project_Register!$G$6:$G$40,MATCH(B398,Project_Register!$A$6:$A$40,0))))))</f>
        <v/>
      </c>
      <c r="L398" s="40" t="str">
        <f aca="false">IF(OR(B398="",D398="",T398="On Hold"),"",ROUND((D398-K398)*100,0))</f>
        <v/>
      </c>
      <c r="M398" s="38" t="str">
        <f aca="false">IF(OR(B398="",F398=""),"",F398/INDEX(Project_Register!$I$6:$I$40,MATCH(B398,Project_Register!$A$6:$A$40,0)))</f>
        <v/>
      </c>
      <c r="N398" s="40" t="str">
        <f aca="false">IF(OR(B398="",G398="",T398="On Hold"),"",G398-INDEX(Project_Register!$H$6:$H$40,MATCH(B398,Project_Register!$A$6:$A$40,0)))</f>
        <v/>
      </c>
      <c r="O398" s="0" t="str">
        <f aca="false">IF(B398="","",IF(D398="","No update",IF(AND(T398&lt;&gt;"Active",D398&lt;1),T398,IF(D398&gt;=1,"Complete",IF(OR(L398&lt;=SV_Red,M398&gt;Cost_Red,N398&gt;Slip_Red),"Red",IF(OR(L398&lt;=SV_Amber,M398&gt;Cost_Amber,N398&gt;Slip_Amber),"Amber","Green"))))))</f>
        <v/>
      </c>
      <c r="P398" s="0" t="str">
        <f aca="false">IF(AND(H398="Green",OR(O398="Amber",O398="Red")),"Watermelon","")</f>
        <v/>
      </c>
      <c r="Q398" s="0" t="str">
        <f aca="false">IF(B398="","",IF(J398="","Missing",IF(J398&gt;A398+UpdateDue,"Late","On time")))</f>
        <v/>
      </c>
      <c r="R398" s="0" t="str">
        <f aca="false">IF(OR(B398="",D398=""),"",IF(COUNTIFS($B$6:$B$400,B398,$A$6:$A$400,EOMONTH(A398,-1))=0,"",IF(D398&lt;SUMIFS($D$6:$D$400,$B$6:$B$400,B398,$A$6:$A$400,EOMONTH(A398,-1)),"Dropped","")))</f>
        <v/>
      </c>
      <c r="S398" s="41" t="str">
        <f aca="false">IF(B398="","",B398&amp;"|"&amp;(YEAR(A398)*100+MONTH(A398)))</f>
        <v/>
      </c>
    </row>
    <row r="399" customFormat="false" ht="15" hidden="false" customHeight="false" outlineLevel="0" collapsed="false">
      <c r="A399" s="37"/>
      <c r="C399" s="0" t="str">
        <f aca="false">IF(B399="","",IFERROR(INDEX(Project_Register!$B$6:$B$40,MATCH(B399,Project_Register!$A$6:$A$40,0)),"Unknown ID"))</f>
        <v/>
      </c>
      <c r="D399" s="38"/>
      <c r="E399" s="24"/>
      <c r="F399" s="24"/>
      <c r="G399" s="39"/>
      <c r="J399" s="39"/>
      <c r="K399" s="38" t="str">
        <f aca="false">IF(OR(B399="",T399="On Hold"),"",MAX(0,MIN(1,(A399-INDEX(Project_Register!$G$6:$G$40,MATCH(B399,Project_Register!$A$6:$A$40,0)))/(INDEX(Project_Register!$H$6:$H$40,MATCH(B399,Project_Register!$A$6:$A$40,0))-INDEX(Project_Register!$G$6:$G$40,MATCH(B399,Project_Register!$A$6:$A$40,0))))))</f>
        <v/>
      </c>
      <c r="L399" s="40" t="str">
        <f aca="false">IF(OR(B399="",D399="",T399="On Hold"),"",ROUND((D399-K399)*100,0))</f>
        <v/>
      </c>
      <c r="M399" s="38" t="str">
        <f aca="false">IF(OR(B399="",F399=""),"",F399/INDEX(Project_Register!$I$6:$I$40,MATCH(B399,Project_Register!$A$6:$A$40,0)))</f>
        <v/>
      </c>
      <c r="N399" s="40" t="str">
        <f aca="false">IF(OR(B399="",G399="",T399="On Hold"),"",G399-INDEX(Project_Register!$H$6:$H$40,MATCH(B399,Project_Register!$A$6:$A$40,0)))</f>
        <v/>
      </c>
      <c r="O399" s="0" t="str">
        <f aca="false">IF(B399="","",IF(D399="","No update",IF(AND(T399&lt;&gt;"Active",D399&lt;1),T399,IF(D399&gt;=1,"Complete",IF(OR(L399&lt;=SV_Red,M399&gt;Cost_Red,N399&gt;Slip_Red),"Red",IF(OR(L399&lt;=SV_Amber,M399&gt;Cost_Amber,N399&gt;Slip_Amber),"Amber","Green"))))))</f>
        <v/>
      </c>
      <c r="P399" s="0" t="str">
        <f aca="false">IF(AND(H399="Green",OR(O399="Amber",O399="Red")),"Watermelon","")</f>
        <v/>
      </c>
      <c r="Q399" s="0" t="str">
        <f aca="false">IF(B399="","",IF(J399="","Missing",IF(J399&gt;A399+UpdateDue,"Late","On time")))</f>
        <v/>
      </c>
      <c r="R399" s="0" t="str">
        <f aca="false">IF(OR(B399="",D399=""),"",IF(COUNTIFS($B$6:$B$400,B399,$A$6:$A$400,EOMONTH(A399,-1))=0,"",IF(D399&lt;SUMIFS($D$6:$D$400,$B$6:$B$400,B399,$A$6:$A$400,EOMONTH(A399,-1)),"Dropped","")))</f>
        <v/>
      </c>
      <c r="S399" s="41" t="str">
        <f aca="false">IF(B399="","",B399&amp;"|"&amp;(YEAR(A399)*100+MONTH(A399)))</f>
        <v/>
      </c>
    </row>
    <row r="400" customFormat="false" ht="15" hidden="false" customHeight="false" outlineLevel="0" collapsed="false">
      <c r="A400" s="37"/>
      <c r="C400" s="0" t="str">
        <f aca="false">IF(B400="","",IFERROR(INDEX(Project_Register!$B$6:$B$40,MATCH(B400,Project_Register!$A$6:$A$40,0)),"Unknown ID"))</f>
        <v/>
      </c>
      <c r="D400" s="38"/>
      <c r="E400" s="24"/>
      <c r="F400" s="24"/>
      <c r="G400" s="39"/>
      <c r="J400" s="39"/>
      <c r="K400" s="38" t="str">
        <f aca="false">IF(OR(B400="",T400="On Hold"),"",MAX(0,MIN(1,(A400-INDEX(Project_Register!$G$6:$G$40,MATCH(B400,Project_Register!$A$6:$A$40,0)))/(INDEX(Project_Register!$H$6:$H$40,MATCH(B400,Project_Register!$A$6:$A$40,0))-INDEX(Project_Register!$G$6:$G$40,MATCH(B400,Project_Register!$A$6:$A$40,0))))))</f>
        <v/>
      </c>
      <c r="L400" s="40" t="str">
        <f aca="false">IF(OR(B400="",D400="",T400="On Hold"),"",ROUND((D400-K400)*100,0))</f>
        <v/>
      </c>
      <c r="M400" s="38" t="str">
        <f aca="false">IF(OR(B400="",F400=""),"",F400/INDEX(Project_Register!$I$6:$I$40,MATCH(B400,Project_Register!$A$6:$A$40,0)))</f>
        <v/>
      </c>
      <c r="N400" s="40" t="str">
        <f aca="false">IF(OR(B400="",G400="",T400="On Hold"),"",G400-INDEX(Project_Register!$H$6:$H$40,MATCH(B400,Project_Register!$A$6:$A$40,0)))</f>
        <v/>
      </c>
      <c r="O400" s="0" t="str">
        <f aca="false">IF(B400="","",IF(D400="","No update",IF(AND(T400&lt;&gt;"Active",D400&lt;1),T400,IF(D400&gt;=1,"Complete",IF(OR(L400&lt;=SV_Red,M400&gt;Cost_Red,N400&gt;Slip_Red),"Red",IF(OR(L400&lt;=SV_Amber,M400&gt;Cost_Amber,N400&gt;Slip_Amber),"Amber","Green"))))))</f>
        <v/>
      </c>
      <c r="P400" s="0" t="str">
        <f aca="false">IF(AND(H400="Green",OR(O400="Amber",O400="Red")),"Watermelon","")</f>
        <v/>
      </c>
      <c r="Q400" s="0" t="str">
        <f aca="false">IF(B400="","",IF(J400="","Missing",IF(J400&gt;A400+UpdateDue,"Late","On time")))</f>
        <v/>
      </c>
      <c r="R400" s="0" t="str">
        <f aca="false">IF(OR(B400="",D400=""),"",IF(COUNTIFS($B$6:$B$400,B400,$A$6:$A$400,EOMONTH(A400,-1))=0,"",IF(D400&lt;SUMIFS($D$6:$D$400,$B$6:$B$400,B400,$A$6:$A$400,EOMONTH(A400,-1)),"Dropped","")))</f>
        <v/>
      </c>
      <c r="S400" s="41" t="str">
        <f aca="false">IF(B400="","",B400&amp;"|"&amp;(YEAR(A400)*100+MONTH(A400)))</f>
        <v/>
      </c>
    </row>
  </sheetData>
  <conditionalFormatting sqref="H6:H400">
    <cfRule type="cellIs" priority="2" operator="equal" aboveAverage="0" equalAverage="0" bottom="0" percent="0" rank="0" text="" dxfId="0">
      <formula>"Complete"</formula>
    </cfRule>
    <cfRule type="cellIs" priority="3" operator="equal" aboveAverage="0" equalAverage="0" bottom="0" percent="0" rank="0" text="" dxfId="0">
      <formula>"Done"</formula>
    </cfRule>
    <cfRule type="cellIs" priority="4" operator="equal" aboveAverage="0" equalAverage="0" bottom="0" percent="0" rank="0" text="" dxfId="0">
      <formula>"Closed"</formula>
    </cfRule>
    <cfRule type="cellIs" priority="5" operator="equal" aboveAverage="0" equalAverage="0" bottom="0" percent="0" rank="0" text="" dxfId="0">
      <formula>"Answered"</formula>
    </cfRule>
    <cfRule type="cellIs" priority="6" operator="equal" aboveAverage="0" equalAverage="0" bottom="0" percent="0" rank="0" text="" dxfId="1">
      <formula>"Approved"</formula>
    </cfRule>
    <cfRule type="cellIs" priority="7" operator="equal" aboveAverage="0" equalAverage="0" bottom="0" percent="0" rank="0" text="" dxfId="1">
      <formula>"On Track"</formula>
    </cfRule>
    <cfRule type="cellIs" priority="8" operator="equal" aboveAverage="0" equalAverage="0" bottom="0" percent="0" rank="0" text="" dxfId="1">
      <formula>"Green"</formula>
    </cfRule>
    <cfRule type="cellIs" priority="9" operator="equal" aboveAverage="0" equalAverage="0" bottom="0" percent="0" rank="0" text="" dxfId="1">
      <formula>"GO"</formula>
    </cfRule>
    <cfRule type="cellIs" priority="10" operator="equal" aboveAverage="0" equalAverage="0" bottom="0" percent="0" rank="0" text="" dxfId="1">
      <formula>"Low"</formula>
    </cfRule>
    <cfRule type="cellIs" priority="11" operator="equal" aboveAverage="0" equalAverage="0" bottom="0" percent="0" rank="0" text="" dxfId="2">
      <formula>"At Risk"</formula>
    </cfRule>
    <cfRule type="cellIs" priority="12" operator="equal" aboveAverage="0" equalAverage="0" bottom="0" percent="0" rank="0" text="" dxfId="2">
      <formula>"Amber"</formula>
    </cfRule>
    <cfRule type="cellIs" priority="13" operator="equal" aboveAverage="0" equalAverage="0" bottom="0" percent="0" rank="0" text="" dxfId="2">
      <formula>"Medium"</formula>
    </cfRule>
    <cfRule type="cellIs" priority="14" operator="equal" aboveAverage="0" equalAverage="0" bottom="0" percent="0" rank="0" text="" dxfId="2">
      <formula>"Pending"</formula>
    </cfRule>
    <cfRule type="cellIs" priority="15" operator="equal" aboveAverage="0" equalAverage="0" bottom="0" percent="0" rank="0" text="" dxfId="2">
      <formula>"Open"</formula>
    </cfRule>
    <cfRule type="cellIs" priority="16" operator="equal" aboveAverage="0" equalAverage="0" bottom="0" percent="0" rank="0" text="" dxfId="3">
      <formula>"Late"</formula>
    </cfRule>
    <cfRule type="cellIs" priority="17" operator="equal" aboveAverage="0" equalAverage="0" bottom="0" percent="0" rank="0" text="" dxfId="3">
      <formula>"Red"</formula>
    </cfRule>
    <cfRule type="cellIs" priority="18" operator="equal" aboveAverage="0" equalAverage="0" bottom="0" percent="0" rank="0" text="" dxfId="3">
      <formula>"High"</formula>
    </cfRule>
    <cfRule type="cellIs" priority="19" operator="equal" aboveAverage="0" equalAverage="0" bottom="0" percent="0" rank="0" text="" dxfId="3">
      <formula>"Overdue"</formula>
    </cfRule>
    <cfRule type="cellIs" priority="20" operator="equal" aboveAverage="0" equalAverage="0" bottom="0" percent="0" rank="0" text="" dxfId="3">
      <formula>"OVERDUE"</formula>
    </cfRule>
    <cfRule type="cellIs" priority="21" operator="equal" aboveAverage="0" equalAverage="0" bottom="0" percent="0" rank="0" text="" dxfId="3">
      <formula>"NO-GO"</formula>
    </cfRule>
    <cfRule type="cellIs" priority="22" operator="equal" aboveAverage="0" equalAverage="0" bottom="0" percent="0" rank="0" text="" dxfId="3">
      <formula>"Blocked"</formula>
    </cfRule>
  </conditionalFormatting>
  <conditionalFormatting sqref="O6:O400">
    <cfRule type="cellIs" priority="23" operator="equal" aboveAverage="0" equalAverage="0" bottom="0" percent="0" rank="0" text="" dxfId="0">
      <formula>"Complete"</formula>
    </cfRule>
    <cfRule type="cellIs" priority="24" operator="equal" aboveAverage="0" equalAverage="0" bottom="0" percent="0" rank="0" text="" dxfId="0">
      <formula>"Done"</formula>
    </cfRule>
    <cfRule type="cellIs" priority="25" operator="equal" aboveAverage="0" equalAverage="0" bottom="0" percent="0" rank="0" text="" dxfId="0">
      <formula>"Closed"</formula>
    </cfRule>
    <cfRule type="cellIs" priority="26" operator="equal" aboveAverage="0" equalAverage="0" bottom="0" percent="0" rank="0" text="" dxfId="0">
      <formula>"Answered"</formula>
    </cfRule>
    <cfRule type="cellIs" priority="27" operator="equal" aboveAverage="0" equalAverage="0" bottom="0" percent="0" rank="0" text="" dxfId="1">
      <formula>"Approved"</formula>
    </cfRule>
    <cfRule type="cellIs" priority="28" operator="equal" aboveAverage="0" equalAverage="0" bottom="0" percent="0" rank="0" text="" dxfId="1">
      <formula>"On Track"</formula>
    </cfRule>
    <cfRule type="cellIs" priority="29" operator="equal" aboveAverage="0" equalAverage="0" bottom="0" percent="0" rank="0" text="" dxfId="1">
      <formula>"Green"</formula>
    </cfRule>
    <cfRule type="cellIs" priority="30" operator="equal" aboveAverage="0" equalAverage="0" bottom="0" percent="0" rank="0" text="" dxfId="1">
      <formula>"GO"</formula>
    </cfRule>
    <cfRule type="cellIs" priority="31" operator="equal" aboveAverage="0" equalAverage="0" bottom="0" percent="0" rank="0" text="" dxfId="1">
      <formula>"Low"</formula>
    </cfRule>
    <cfRule type="cellIs" priority="32" operator="equal" aboveAverage="0" equalAverage="0" bottom="0" percent="0" rank="0" text="" dxfId="2">
      <formula>"At Risk"</formula>
    </cfRule>
    <cfRule type="cellIs" priority="33" operator="equal" aboveAverage="0" equalAverage="0" bottom="0" percent="0" rank="0" text="" dxfId="2">
      <formula>"Amber"</formula>
    </cfRule>
    <cfRule type="cellIs" priority="34" operator="equal" aboveAverage="0" equalAverage="0" bottom="0" percent="0" rank="0" text="" dxfId="2">
      <formula>"Medium"</formula>
    </cfRule>
    <cfRule type="cellIs" priority="35" operator="equal" aboveAverage="0" equalAverage="0" bottom="0" percent="0" rank="0" text="" dxfId="2">
      <formula>"Pending"</formula>
    </cfRule>
    <cfRule type="cellIs" priority="36" operator="equal" aboveAverage="0" equalAverage="0" bottom="0" percent="0" rank="0" text="" dxfId="2">
      <formula>"Open"</formula>
    </cfRule>
    <cfRule type="cellIs" priority="37" operator="equal" aboveAverage="0" equalAverage="0" bottom="0" percent="0" rank="0" text="" dxfId="3">
      <formula>"Late"</formula>
    </cfRule>
    <cfRule type="cellIs" priority="38" operator="equal" aboveAverage="0" equalAverage="0" bottom="0" percent="0" rank="0" text="" dxfId="3">
      <formula>"Red"</formula>
    </cfRule>
    <cfRule type="cellIs" priority="39" operator="equal" aboveAverage="0" equalAverage="0" bottom="0" percent="0" rank="0" text="" dxfId="3">
      <formula>"High"</formula>
    </cfRule>
    <cfRule type="cellIs" priority="40" operator="equal" aboveAverage="0" equalAverage="0" bottom="0" percent="0" rank="0" text="" dxfId="3">
      <formula>"Overdue"</formula>
    </cfRule>
    <cfRule type="cellIs" priority="41" operator="equal" aboveAverage="0" equalAverage="0" bottom="0" percent="0" rank="0" text="" dxfId="3">
      <formula>"OVERDUE"</formula>
    </cfRule>
    <cfRule type="cellIs" priority="42" operator="equal" aboveAverage="0" equalAverage="0" bottom="0" percent="0" rank="0" text="" dxfId="3">
      <formula>"NO-GO"</formula>
    </cfRule>
    <cfRule type="cellIs" priority="43" operator="equal" aboveAverage="0" equalAverage="0" bottom="0" percent="0" rank="0" text="" dxfId="3">
      <formula>"Blocked"</formula>
    </cfRule>
  </conditionalFormatting>
  <conditionalFormatting sqref="O6:R400">
    <cfRule type="cellIs" priority="44" operator="equal" aboveAverage="0" equalAverage="0" bottom="0" percent="0" rank="0" text="" dxfId="3">
      <formula>"Watermelon"</formula>
    </cfRule>
    <cfRule type="cellIs" priority="45" operator="equal" aboveAverage="0" equalAverage="0" bottom="0" percent="0" rank="0" text="" dxfId="3">
      <formula>"Missing"</formula>
    </cfRule>
    <cfRule type="cellIs" priority="46" operator="equal" aboveAverage="0" equalAverage="0" bottom="0" percent="0" rank="0" text="" dxfId="2">
      <formula>"Late"</formula>
    </cfRule>
    <cfRule type="cellIs" priority="47" operator="equal" aboveAverage="0" equalAverage="0" bottom="0" percent="0" rank="0" text="" dxfId="2">
      <formula>"Dropped"</formula>
    </cfRule>
    <cfRule type="cellIs" priority="48" operator="equal" aboveAverage="0" equalAverage="0" bottom="0" percent="0" rank="0" text="" dxfId="3">
      <formula>"No update"</formula>
    </cfRule>
    <cfRule type="cellIs" priority="49" operator="equal" aboveAverage="0" equalAverage="0" bottom="0" percent="0" rank="0" text="" dxfId="0">
      <formula>"On Hold"</formula>
    </cfRule>
  </conditionalFormatting>
  <dataValidations count="4">
    <dataValidation allowBlank="true" errorStyle="stop" operator="between" showDropDown="false" showErrorMessage="false" showInputMessage="false" sqref="B6:B400" type="list">
      <formula1>Project_Register!$A$6:$A$40</formula1>
      <formula2>0</formula2>
    </dataValidation>
    <dataValidation allowBlank="true" errorStyle="stop" operator="between" showDropDown="false" showErrorMessage="false" showInputMessage="false" sqref="H6:H400" type="list">
      <formula1>Lists!$C$5:$C$7</formula1>
      <formula2>0</formula2>
    </dataValidation>
    <dataValidation allowBlank="true" errorStyle="stop" operator="between" showDropDown="false" showErrorMessage="false" showInputMessage="false" sqref="A6:A400" type="list">
      <formula1>Lists!$D$5:$D$8</formula1>
      <formula2>0</formula2>
    </dataValidation>
    <dataValidation allowBlank="true" errorStyle="stop" operator="between" showDropDown="false" showErrorMessage="false" showInputMessage="false" sqref="T6:T400" type="list">
      <formula1>Lists!$B$5:$B$7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7F8E"/>
    <pageSetUpPr fitToPage="true"/>
  </sheetPr>
  <dimension ref="A1:I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13"/>
    <col collapsed="false" customWidth="true" hidden="false" outlineLevel="0" max="9" min="9" style="0" width="11"/>
  </cols>
  <sheetData>
    <row r="1" customFormat="false" ht="19.7" hidden="false" customHeight="false" outlineLevel="0" collapsed="false">
      <c r="A1" s="9" t="s">
        <v>138</v>
      </c>
    </row>
    <row r="2" customFormat="false" ht="15" hidden="false" customHeight="false" outlineLevel="0" collapsed="false">
      <c r="A2" s="2" t="s">
        <v>139</v>
      </c>
    </row>
    <row r="3" customFormat="false" ht="15" hidden="false" customHeight="false" outlineLevel="0" collapsed="false">
      <c r="A3" s="27"/>
      <c r="B3" s="28" t="s">
        <v>74</v>
      </c>
    </row>
    <row r="5" customFormat="false" ht="30" hidden="false" customHeight="true" outlineLevel="0" collapsed="false">
      <c r="A5" s="19" t="s">
        <v>56</v>
      </c>
      <c r="B5" s="19" t="s">
        <v>57</v>
      </c>
      <c r="C5" s="19" t="s">
        <v>140</v>
      </c>
      <c r="D5" s="19" t="s">
        <v>141</v>
      </c>
      <c r="E5" s="19" t="s">
        <v>142</v>
      </c>
      <c r="F5" s="19" t="s">
        <v>143</v>
      </c>
      <c r="G5" s="19" t="s">
        <v>144</v>
      </c>
      <c r="H5" s="19" t="s">
        <v>145</v>
      </c>
      <c r="I5" s="19" t="s">
        <v>146</v>
      </c>
    </row>
    <row r="6" customFormat="false" ht="15" hidden="false" customHeight="false" outlineLevel="0" collapsed="false">
      <c r="A6" s="36" t="s">
        <v>90</v>
      </c>
      <c r="B6" s="36" t="s">
        <v>147</v>
      </c>
      <c r="C6" s="36" t="s">
        <v>148</v>
      </c>
      <c r="D6" s="36" t="s">
        <v>149</v>
      </c>
      <c r="E6" s="36" t="s">
        <v>150</v>
      </c>
      <c r="F6" s="36" t="s">
        <v>92</v>
      </c>
      <c r="G6" s="42" t="n">
        <v>46174</v>
      </c>
      <c r="H6" s="42" t="n">
        <v>46374</v>
      </c>
      <c r="I6" s="32" t="n">
        <v>180000</v>
      </c>
    </row>
    <row r="7" customFormat="false" ht="15" hidden="false" customHeight="false" outlineLevel="0" collapsed="false">
      <c r="A7" s="36" t="s">
        <v>93</v>
      </c>
      <c r="B7" s="36" t="s">
        <v>151</v>
      </c>
      <c r="C7" s="36" t="s">
        <v>152</v>
      </c>
      <c r="D7" s="36" t="s">
        <v>153</v>
      </c>
      <c r="E7" s="36" t="s">
        <v>154</v>
      </c>
      <c r="F7" s="36" t="s">
        <v>92</v>
      </c>
      <c r="G7" s="42" t="n">
        <v>46209</v>
      </c>
      <c r="H7" s="42" t="n">
        <v>46346</v>
      </c>
      <c r="I7" s="32" t="n">
        <v>42000</v>
      </c>
    </row>
    <row r="8" customFormat="false" ht="15" hidden="false" customHeight="false" outlineLevel="0" collapsed="false">
      <c r="A8" s="36" t="s">
        <v>95</v>
      </c>
      <c r="B8" s="36" t="s">
        <v>155</v>
      </c>
      <c r="C8" s="36" t="s">
        <v>148</v>
      </c>
      <c r="D8" s="36" t="s">
        <v>149</v>
      </c>
      <c r="E8" s="36" t="s">
        <v>156</v>
      </c>
      <c r="F8" s="36" t="s">
        <v>92</v>
      </c>
      <c r="G8" s="42" t="n">
        <v>46146</v>
      </c>
      <c r="H8" s="42" t="n">
        <v>46367</v>
      </c>
      <c r="I8" s="32" t="n">
        <v>95000</v>
      </c>
    </row>
    <row r="9" customFormat="false" ht="15" hidden="false" customHeight="false" outlineLevel="0" collapsed="false">
      <c r="A9" s="36" t="s">
        <v>97</v>
      </c>
      <c r="B9" s="36" t="s">
        <v>157</v>
      </c>
      <c r="C9" s="36" t="s">
        <v>158</v>
      </c>
      <c r="D9" s="36" t="s">
        <v>159</v>
      </c>
      <c r="E9" s="36" t="s">
        <v>154</v>
      </c>
      <c r="F9" s="36" t="s">
        <v>120</v>
      </c>
      <c r="G9" s="42" t="n">
        <v>46118</v>
      </c>
      <c r="H9" s="42" t="n">
        <v>46290</v>
      </c>
      <c r="I9" s="32" t="n">
        <v>60000</v>
      </c>
    </row>
    <row r="10" customFormat="false" ht="15" hidden="false" customHeight="false" outlineLevel="0" collapsed="false">
      <c r="A10" s="36" t="s">
        <v>99</v>
      </c>
      <c r="B10" s="36" t="s">
        <v>160</v>
      </c>
      <c r="C10" s="36" t="s">
        <v>152</v>
      </c>
      <c r="D10" s="36" t="s">
        <v>153</v>
      </c>
      <c r="E10" s="36" t="s">
        <v>154</v>
      </c>
      <c r="F10" s="36" t="s">
        <v>92</v>
      </c>
      <c r="G10" s="42" t="n">
        <v>46216</v>
      </c>
      <c r="H10" s="42" t="n">
        <v>46325</v>
      </c>
      <c r="I10" s="32" t="n">
        <v>75000</v>
      </c>
    </row>
    <row r="11" customFormat="false" ht="15" hidden="false" customHeight="false" outlineLevel="0" collapsed="false">
      <c r="A11" s="36" t="s">
        <v>101</v>
      </c>
      <c r="B11" s="36" t="s">
        <v>161</v>
      </c>
      <c r="C11" s="36" t="s">
        <v>162</v>
      </c>
      <c r="D11" s="36" t="s">
        <v>163</v>
      </c>
      <c r="E11" s="36" t="s">
        <v>164</v>
      </c>
      <c r="F11" s="36" t="s">
        <v>92</v>
      </c>
      <c r="G11" s="42" t="n">
        <v>46174</v>
      </c>
      <c r="H11" s="42" t="n">
        <v>46472</v>
      </c>
      <c r="I11" s="32" t="n">
        <v>120000</v>
      </c>
    </row>
    <row r="12" customFormat="false" ht="15" hidden="false" customHeight="false" outlineLevel="0" collapsed="false">
      <c r="A12" s="36" t="s">
        <v>111</v>
      </c>
      <c r="B12" s="36" t="s">
        <v>165</v>
      </c>
      <c r="C12" s="36" t="s">
        <v>166</v>
      </c>
      <c r="D12" s="36" t="s">
        <v>167</v>
      </c>
      <c r="E12" s="36" t="s">
        <v>168</v>
      </c>
      <c r="F12" s="36" t="s">
        <v>92</v>
      </c>
      <c r="G12" s="42" t="n">
        <v>46237</v>
      </c>
      <c r="H12" s="42" t="n">
        <v>46416</v>
      </c>
      <c r="I12" s="32" t="n">
        <v>70000</v>
      </c>
    </row>
    <row r="13" customFormat="false" ht="15" hidden="false" customHeight="false" outlineLevel="0" collapsed="false">
      <c r="A13" s="36" t="s">
        <v>124</v>
      </c>
      <c r="B13" s="36" t="s">
        <v>169</v>
      </c>
      <c r="C13" s="36" t="s">
        <v>148</v>
      </c>
      <c r="D13" s="36" t="s">
        <v>163</v>
      </c>
      <c r="E13" s="36" t="s">
        <v>170</v>
      </c>
      <c r="F13" s="36" t="s">
        <v>92</v>
      </c>
      <c r="G13" s="42" t="n">
        <v>46272</v>
      </c>
      <c r="H13" s="42" t="n">
        <v>46360</v>
      </c>
      <c r="I13" s="32" t="n">
        <v>38000</v>
      </c>
    </row>
    <row r="14" customFormat="false" ht="15" hidden="false" customHeight="false" outlineLevel="0" collapsed="false">
      <c r="A14" s="36" t="s">
        <v>103</v>
      </c>
      <c r="B14" s="36" t="s">
        <v>171</v>
      </c>
      <c r="C14" s="36" t="s">
        <v>152</v>
      </c>
      <c r="D14" s="36" t="s">
        <v>159</v>
      </c>
      <c r="E14" s="36" t="s">
        <v>164</v>
      </c>
      <c r="F14" s="36" t="s">
        <v>92</v>
      </c>
      <c r="G14" s="42" t="n">
        <v>46204</v>
      </c>
      <c r="H14" s="42" t="n">
        <v>46402</v>
      </c>
      <c r="I14" s="32" t="n">
        <v>54000</v>
      </c>
    </row>
    <row r="15" customFormat="false" ht="15" hidden="false" customHeight="false" outlineLevel="0" collapsed="false">
      <c r="A15" s="36" t="s">
        <v>114</v>
      </c>
      <c r="B15" s="36" t="s">
        <v>172</v>
      </c>
      <c r="C15" s="36" t="s">
        <v>158</v>
      </c>
      <c r="D15" s="36" t="s">
        <v>167</v>
      </c>
      <c r="E15" s="36" t="s">
        <v>154</v>
      </c>
      <c r="F15" s="36" t="s">
        <v>128</v>
      </c>
      <c r="G15" s="42" t="n">
        <v>46237</v>
      </c>
      <c r="H15" s="42" t="n">
        <v>46339</v>
      </c>
      <c r="I15" s="32" t="n">
        <v>85000</v>
      </c>
    </row>
    <row r="16" customFormat="false" ht="15" hidden="false" customHeight="false" outlineLevel="0" collapsed="false">
      <c r="G16" s="43"/>
      <c r="H16" s="43"/>
      <c r="I16" s="24"/>
    </row>
    <row r="17" customFormat="false" ht="15" hidden="false" customHeight="false" outlineLevel="0" collapsed="false">
      <c r="G17" s="43"/>
      <c r="H17" s="43"/>
      <c r="I17" s="24"/>
    </row>
    <row r="18" customFormat="false" ht="15" hidden="false" customHeight="false" outlineLevel="0" collapsed="false">
      <c r="G18" s="43"/>
      <c r="H18" s="43"/>
      <c r="I18" s="24"/>
    </row>
    <row r="19" customFormat="false" ht="15" hidden="false" customHeight="false" outlineLevel="0" collapsed="false">
      <c r="G19" s="43"/>
      <c r="H19" s="43"/>
      <c r="I19" s="24"/>
    </row>
    <row r="20" customFormat="false" ht="15" hidden="false" customHeight="false" outlineLevel="0" collapsed="false">
      <c r="G20" s="43"/>
      <c r="H20" s="43"/>
      <c r="I20" s="24"/>
    </row>
    <row r="21" customFormat="false" ht="15" hidden="false" customHeight="false" outlineLevel="0" collapsed="false">
      <c r="G21" s="43"/>
      <c r="H21" s="43"/>
      <c r="I21" s="24"/>
    </row>
    <row r="22" customFormat="false" ht="15" hidden="false" customHeight="false" outlineLevel="0" collapsed="false">
      <c r="G22" s="43"/>
      <c r="H22" s="43"/>
      <c r="I22" s="24"/>
    </row>
    <row r="23" customFormat="false" ht="15" hidden="false" customHeight="false" outlineLevel="0" collapsed="false">
      <c r="G23" s="43"/>
      <c r="H23" s="43"/>
      <c r="I23" s="24"/>
    </row>
    <row r="24" customFormat="false" ht="15" hidden="false" customHeight="false" outlineLevel="0" collapsed="false">
      <c r="G24" s="43"/>
      <c r="H24" s="43"/>
      <c r="I24" s="24"/>
    </row>
    <row r="25" customFormat="false" ht="15" hidden="false" customHeight="false" outlineLevel="0" collapsed="false">
      <c r="G25" s="43"/>
      <c r="H25" s="43"/>
      <c r="I25" s="24"/>
    </row>
    <row r="26" customFormat="false" ht="15" hidden="false" customHeight="false" outlineLevel="0" collapsed="false">
      <c r="G26" s="43"/>
      <c r="H26" s="43"/>
      <c r="I26" s="24"/>
    </row>
    <row r="27" customFormat="false" ht="15" hidden="false" customHeight="false" outlineLevel="0" collapsed="false">
      <c r="G27" s="43"/>
      <c r="H27" s="43"/>
      <c r="I27" s="24"/>
    </row>
    <row r="28" customFormat="false" ht="15" hidden="false" customHeight="false" outlineLevel="0" collapsed="false">
      <c r="G28" s="43"/>
      <c r="H28" s="43"/>
      <c r="I28" s="24"/>
    </row>
    <row r="29" customFormat="false" ht="15" hidden="false" customHeight="false" outlineLevel="0" collapsed="false">
      <c r="G29" s="43"/>
      <c r="H29" s="43"/>
      <c r="I29" s="24"/>
    </row>
    <row r="30" customFormat="false" ht="15" hidden="false" customHeight="false" outlineLevel="0" collapsed="false">
      <c r="G30" s="43"/>
      <c r="H30" s="43"/>
      <c r="I30" s="24"/>
    </row>
    <row r="31" customFormat="false" ht="15" hidden="false" customHeight="false" outlineLevel="0" collapsed="false">
      <c r="G31" s="43"/>
      <c r="H31" s="43"/>
      <c r="I31" s="24"/>
    </row>
    <row r="32" customFormat="false" ht="15" hidden="false" customHeight="false" outlineLevel="0" collapsed="false">
      <c r="G32" s="43"/>
      <c r="H32" s="43"/>
      <c r="I32" s="24"/>
    </row>
    <row r="33" customFormat="false" ht="15" hidden="false" customHeight="false" outlineLevel="0" collapsed="false">
      <c r="G33" s="43"/>
      <c r="H33" s="43"/>
      <c r="I33" s="24"/>
    </row>
    <row r="34" customFormat="false" ht="15" hidden="false" customHeight="false" outlineLevel="0" collapsed="false">
      <c r="G34" s="43"/>
      <c r="H34" s="43"/>
      <c r="I34" s="24"/>
    </row>
    <row r="35" customFormat="false" ht="15" hidden="false" customHeight="false" outlineLevel="0" collapsed="false">
      <c r="G35" s="43"/>
      <c r="H35" s="43"/>
      <c r="I35" s="24"/>
    </row>
    <row r="36" customFormat="false" ht="15" hidden="false" customHeight="false" outlineLevel="0" collapsed="false">
      <c r="G36" s="43"/>
      <c r="H36" s="43"/>
      <c r="I36" s="24"/>
    </row>
    <row r="37" customFormat="false" ht="15" hidden="false" customHeight="false" outlineLevel="0" collapsed="false">
      <c r="G37" s="43"/>
      <c r="H37" s="43"/>
      <c r="I37" s="24"/>
    </row>
    <row r="38" customFormat="false" ht="15" hidden="false" customHeight="false" outlineLevel="0" collapsed="false">
      <c r="G38" s="43"/>
      <c r="H38" s="43"/>
      <c r="I38" s="24"/>
    </row>
    <row r="39" customFormat="false" ht="15" hidden="false" customHeight="false" outlineLevel="0" collapsed="false">
      <c r="G39" s="43"/>
      <c r="H39" s="43"/>
      <c r="I39" s="24"/>
    </row>
    <row r="40" customFormat="false" ht="15" hidden="false" customHeight="false" outlineLevel="0" collapsed="false">
      <c r="G40" s="43"/>
      <c r="H40" s="43"/>
      <c r="I40" s="24"/>
    </row>
  </sheetData>
  <conditionalFormatting sqref="F6:F40">
    <cfRule type="cellIs" priority="2" operator="equal" aboveAverage="0" equalAverage="0" bottom="0" percent="0" rank="0" text="" dxfId="0">
      <formula>"Complete"</formula>
    </cfRule>
    <cfRule type="cellIs" priority="3" operator="equal" aboveAverage="0" equalAverage="0" bottom="0" percent="0" rank="0" text="" dxfId="0">
      <formula>"Done"</formula>
    </cfRule>
    <cfRule type="cellIs" priority="4" operator="equal" aboveAverage="0" equalAverage="0" bottom="0" percent="0" rank="0" text="" dxfId="0">
      <formula>"Closed"</formula>
    </cfRule>
    <cfRule type="cellIs" priority="5" operator="equal" aboveAverage="0" equalAverage="0" bottom="0" percent="0" rank="0" text="" dxfId="0">
      <formula>"Answered"</formula>
    </cfRule>
    <cfRule type="cellIs" priority="6" operator="equal" aboveAverage="0" equalAverage="0" bottom="0" percent="0" rank="0" text="" dxfId="1">
      <formula>"Approved"</formula>
    </cfRule>
    <cfRule type="cellIs" priority="7" operator="equal" aboveAverage="0" equalAverage="0" bottom="0" percent="0" rank="0" text="" dxfId="1">
      <formula>"On Track"</formula>
    </cfRule>
    <cfRule type="cellIs" priority="8" operator="equal" aboveAverage="0" equalAverage="0" bottom="0" percent="0" rank="0" text="" dxfId="1">
      <formula>"Green"</formula>
    </cfRule>
    <cfRule type="cellIs" priority="9" operator="equal" aboveAverage="0" equalAverage="0" bottom="0" percent="0" rank="0" text="" dxfId="1">
      <formula>"GO"</formula>
    </cfRule>
    <cfRule type="cellIs" priority="10" operator="equal" aboveAverage="0" equalAverage="0" bottom="0" percent="0" rank="0" text="" dxfId="1">
      <formula>"Low"</formula>
    </cfRule>
    <cfRule type="cellIs" priority="11" operator="equal" aboveAverage="0" equalAverage="0" bottom="0" percent="0" rank="0" text="" dxfId="2">
      <formula>"At Risk"</formula>
    </cfRule>
    <cfRule type="cellIs" priority="12" operator="equal" aboveAverage="0" equalAverage="0" bottom="0" percent="0" rank="0" text="" dxfId="2">
      <formula>"Amber"</formula>
    </cfRule>
    <cfRule type="cellIs" priority="13" operator="equal" aboveAverage="0" equalAverage="0" bottom="0" percent="0" rank="0" text="" dxfId="2">
      <formula>"Medium"</formula>
    </cfRule>
    <cfRule type="cellIs" priority="14" operator="equal" aboveAverage="0" equalAverage="0" bottom="0" percent="0" rank="0" text="" dxfId="2">
      <formula>"Pending"</formula>
    </cfRule>
    <cfRule type="cellIs" priority="15" operator="equal" aboveAverage="0" equalAverage="0" bottom="0" percent="0" rank="0" text="" dxfId="2">
      <formula>"Open"</formula>
    </cfRule>
    <cfRule type="cellIs" priority="16" operator="equal" aboveAverage="0" equalAverage="0" bottom="0" percent="0" rank="0" text="" dxfId="3">
      <formula>"Late"</formula>
    </cfRule>
    <cfRule type="cellIs" priority="17" operator="equal" aboveAverage="0" equalAverage="0" bottom="0" percent="0" rank="0" text="" dxfId="3">
      <formula>"Red"</formula>
    </cfRule>
    <cfRule type="cellIs" priority="18" operator="equal" aboveAverage="0" equalAverage="0" bottom="0" percent="0" rank="0" text="" dxfId="3">
      <formula>"High"</formula>
    </cfRule>
    <cfRule type="cellIs" priority="19" operator="equal" aboveAverage="0" equalAverage="0" bottom="0" percent="0" rank="0" text="" dxfId="3">
      <formula>"Overdue"</formula>
    </cfRule>
    <cfRule type="cellIs" priority="20" operator="equal" aboveAverage="0" equalAverage="0" bottom="0" percent="0" rank="0" text="" dxfId="3">
      <formula>"OVERDUE"</formula>
    </cfRule>
    <cfRule type="cellIs" priority="21" operator="equal" aboveAverage="0" equalAverage="0" bottom="0" percent="0" rank="0" text="" dxfId="3">
      <formula>"NO-GO"</formula>
    </cfRule>
    <cfRule type="cellIs" priority="22" operator="equal" aboveAverage="0" equalAverage="0" bottom="0" percent="0" rank="0" text="" dxfId="3">
      <formula>"Blocked"</formula>
    </cfRule>
    <cfRule type="cellIs" priority="23" operator="equal" aboveAverage="0" equalAverage="0" bottom="0" percent="0" rank="0" text="" dxfId="5">
      <formula>"Active"</formula>
    </cfRule>
    <cfRule type="cellIs" priority="24" operator="equal" aboveAverage="0" equalAverage="0" bottom="0" percent="0" rank="0" text="" dxfId="2">
      <formula>"On Hold"</formula>
    </cfRule>
  </conditionalFormatting>
  <dataValidations count="4">
    <dataValidation allowBlank="true" errorStyle="stop" operator="between" showDropDown="false" showErrorMessage="false" showInputMessage="false" sqref="D6:D40" type="list">
      <formula1>Lists!$E$5:$E$12</formula1>
      <formula2>0</formula2>
    </dataValidation>
    <dataValidation allowBlank="true" errorStyle="stop" operator="between" showDropDown="false" showErrorMessage="false" showInputMessage="false" sqref="E6:E40" type="list">
      <formula1>Lists!$G$5:$G$10</formula1>
      <formula2>0</formula2>
    </dataValidation>
    <dataValidation allowBlank="true" errorStyle="stop" operator="between" showDropDown="false" showErrorMessage="false" showInputMessage="false" sqref="C6:C40" type="list">
      <formula1>Lists!$A$5:$A$9</formula1>
      <formula2>0</formula2>
    </dataValidation>
    <dataValidation allowBlank="true" errorStyle="stop" operator="between" showDropDown="false" showErrorMessage="false" showInputMessage="false" sqref="F6:F40" type="list">
      <formula1>Lists!$B$5:$B$7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7F8E"/>
    <pageSetUpPr fitToPage="true"/>
  </sheetPr>
  <dimension ref="A1:M1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10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3"/>
    <col collapsed="false" customWidth="true" hidden="false" outlineLevel="0" max="8" min="8" style="0" width="14"/>
    <col collapsed="false" customWidth="true" hidden="false" outlineLevel="0" max="11" min="9" style="0" width="10"/>
    <col collapsed="false" customWidth="true" hidden="false" outlineLevel="0" max="12" min="12" style="0" width="9"/>
    <col collapsed="false" customWidth="true" hidden="false" outlineLevel="0" max="13" min="13" style="0" width="12"/>
  </cols>
  <sheetData>
    <row r="1" customFormat="false" ht="19.7" hidden="false" customHeight="false" outlineLevel="0" collapsed="false">
      <c r="A1" s="9" t="s">
        <v>173</v>
      </c>
    </row>
    <row r="2" customFormat="false" ht="15" hidden="false" customHeight="false" outlineLevel="0" collapsed="false">
      <c r="A2" s="2" t="s">
        <v>174</v>
      </c>
    </row>
    <row r="3" customFormat="false" ht="15" hidden="false" customHeight="false" outlineLevel="0" collapsed="false">
      <c r="A3" s="27"/>
      <c r="B3" s="28" t="s">
        <v>74</v>
      </c>
    </row>
    <row r="4" customFormat="false" ht="15" hidden="false" customHeight="false" outlineLevel="0" collapsed="false">
      <c r="H4" s="10" t="s">
        <v>175</v>
      </c>
      <c r="K4" s="44" t="n">
        <v>140</v>
      </c>
    </row>
    <row r="5" customFormat="false" ht="30" hidden="false" customHeight="true" outlineLevel="0" collapsed="false">
      <c r="A5" s="19" t="s">
        <v>176</v>
      </c>
      <c r="B5" s="19" t="s">
        <v>177</v>
      </c>
      <c r="C5" s="19" t="s">
        <v>75</v>
      </c>
      <c r="D5" s="19" t="s">
        <v>68</v>
      </c>
      <c r="E5" s="19" t="s">
        <v>178</v>
      </c>
      <c r="I5" s="45" t="n">
        <v>46356</v>
      </c>
      <c r="J5" s="45" t="n">
        <v>46387</v>
      </c>
      <c r="K5" s="45" t="n">
        <v>46418</v>
      </c>
    </row>
    <row r="6" customFormat="false" ht="30" hidden="false" customHeight="true" outlineLevel="0" collapsed="false">
      <c r="A6" s="36" t="s">
        <v>149</v>
      </c>
      <c r="B6" s="36" t="s">
        <v>141</v>
      </c>
      <c r="C6" s="30" t="s">
        <v>90</v>
      </c>
      <c r="D6" s="29" t="n">
        <v>46356</v>
      </c>
      <c r="E6" s="30" t="n">
        <v>80</v>
      </c>
      <c r="H6" s="19" t="s">
        <v>176</v>
      </c>
      <c r="I6" s="19" t="s">
        <v>179</v>
      </c>
      <c r="J6" s="19" t="s">
        <v>180</v>
      </c>
      <c r="K6" s="19" t="s">
        <v>181</v>
      </c>
      <c r="L6" s="19" t="s">
        <v>182</v>
      </c>
      <c r="M6" s="19" t="s">
        <v>183</v>
      </c>
    </row>
    <row r="7" customFormat="false" ht="15" hidden="false" customHeight="false" outlineLevel="0" collapsed="false">
      <c r="A7" s="36" t="s">
        <v>149</v>
      </c>
      <c r="B7" s="36" t="s">
        <v>141</v>
      </c>
      <c r="C7" s="30" t="s">
        <v>95</v>
      </c>
      <c r="D7" s="29" t="n">
        <v>46356</v>
      </c>
      <c r="E7" s="30" t="n">
        <v>52</v>
      </c>
      <c r="H7" s="20" t="s">
        <v>149</v>
      </c>
      <c r="I7" s="21" t="n">
        <f aca="false">SUMIFS($E$6:$E$120,$A$6:$A$120,$H7,$D$6:$D$120,I$5)/Capacity</f>
        <v>0.942857142857143</v>
      </c>
      <c r="J7" s="21" t="n">
        <f aca="false">SUMIFS($E$6:$E$120,$A$6:$A$120,$H7,$D$6:$D$120,J$5)/Capacity</f>
        <v>0.785714285714286</v>
      </c>
      <c r="K7" s="21" t="n">
        <f aca="false">SUMIFS($E$6:$E$120,$A$6:$A$120,$H7,$D$6:$D$120,K$5)/Capacity</f>
        <v>0.142857142857143</v>
      </c>
      <c r="L7" s="21" t="n">
        <f aca="false">MAX(I7:K7)</f>
        <v>0.942857142857143</v>
      </c>
      <c r="M7" s="23" t="str">
        <f aca="false">IF(L7&gt;1,"Overbooked","")</f>
        <v/>
      </c>
    </row>
    <row r="8" customFormat="false" ht="15" hidden="false" customHeight="false" outlineLevel="0" collapsed="false">
      <c r="A8" s="36" t="s">
        <v>149</v>
      </c>
      <c r="B8" s="36" t="s">
        <v>141</v>
      </c>
      <c r="C8" s="30" t="s">
        <v>90</v>
      </c>
      <c r="D8" s="29" t="n">
        <v>46387</v>
      </c>
      <c r="E8" s="30" t="n">
        <v>70</v>
      </c>
      <c r="H8" s="20" t="s">
        <v>153</v>
      </c>
      <c r="I8" s="21" t="n">
        <f aca="false">SUMIFS($E$6:$E$120,$A$6:$A$120,$H8,$D$6:$D$120,I$5)/Capacity</f>
        <v>0.928571428571429</v>
      </c>
      <c r="J8" s="21" t="n">
        <f aca="false">SUMIFS($E$6:$E$120,$A$6:$A$120,$H8,$D$6:$D$120,J$5)/Capacity</f>
        <v>0.428571428571429</v>
      </c>
      <c r="K8" s="21" t="n">
        <f aca="false">SUMIFS($E$6:$E$120,$A$6:$A$120,$H8,$D$6:$D$120,K$5)/Capacity</f>
        <v>0.214285714285714</v>
      </c>
      <c r="L8" s="21" t="n">
        <f aca="false">MAX(I8:K8)</f>
        <v>0.928571428571429</v>
      </c>
      <c r="M8" s="23" t="str">
        <f aca="false">IF(L8&gt;1,"Overbooked","")</f>
        <v/>
      </c>
    </row>
    <row r="9" customFormat="false" ht="15" hidden="false" customHeight="false" outlineLevel="0" collapsed="false">
      <c r="A9" s="36" t="s">
        <v>149</v>
      </c>
      <c r="B9" s="36" t="s">
        <v>141</v>
      </c>
      <c r="C9" s="30" t="s">
        <v>95</v>
      </c>
      <c r="D9" s="29" t="n">
        <v>46387</v>
      </c>
      <c r="E9" s="30" t="n">
        <v>40</v>
      </c>
      <c r="H9" s="20" t="s">
        <v>163</v>
      </c>
      <c r="I9" s="21" t="n">
        <f aca="false">SUMIFS($E$6:$E$120,$A$6:$A$120,$H9,$D$6:$D$120,I$5)/Capacity</f>
        <v>0.857142857142857</v>
      </c>
      <c r="J9" s="21" t="n">
        <f aca="false">SUMIFS($E$6:$E$120,$A$6:$A$120,$H9,$D$6:$D$120,J$5)/Capacity</f>
        <v>0.714285714285714</v>
      </c>
      <c r="K9" s="21" t="n">
        <f aca="false">SUMIFS($E$6:$E$120,$A$6:$A$120,$H9,$D$6:$D$120,K$5)/Capacity</f>
        <v>0.642857142857143</v>
      </c>
      <c r="L9" s="21" t="n">
        <f aca="false">MAX(I9:K9)</f>
        <v>0.857142857142857</v>
      </c>
      <c r="M9" s="23" t="str">
        <f aca="false">IF(L9&gt;1,"Overbooked","")</f>
        <v/>
      </c>
    </row>
    <row r="10" customFormat="false" ht="15" hidden="false" customHeight="false" outlineLevel="0" collapsed="false">
      <c r="A10" s="36" t="s">
        <v>149</v>
      </c>
      <c r="B10" s="36" t="s">
        <v>141</v>
      </c>
      <c r="C10" s="30" t="s">
        <v>90</v>
      </c>
      <c r="D10" s="29" t="n">
        <v>46418</v>
      </c>
      <c r="E10" s="30" t="n">
        <v>20</v>
      </c>
      <c r="H10" s="20" t="s">
        <v>159</v>
      </c>
      <c r="I10" s="21" t="n">
        <f aca="false">SUMIFS($E$6:$E$120,$A$6:$A$120,$H10,$D$6:$D$120,I$5)/Capacity</f>
        <v>0.5</v>
      </c>
      <c r="J10" s="21" t="n">
        <f aca="false">SUMIFS($E$6:$E$120,$A$6:$A$120,$H10,$D$6:$D$120,J$5)/Capacity</f>
        <v>0.5</v>
      </c>
      <c r="K10" s="21" t="n">
        <f aca="false">SUMIFS($E$6:$E$120,$A$6:$A$120,$H10,$D$6:$D$120,K$5)/Capacity</f>
        <v>0.357142857142857</v>
      </c>
      <c r="L10" s="21" t="n">
        <f aca="false">MAX(I10:K10)</f>
        <v>0.5</v>
      </c>
      <c r="M10" s="23" t="str">
        <f aca="false">IF(L10&gt;1,"Overbooked","")</f>
        <v/>
      </c>
    </row>
    <row r="11" customFormat="false" ht="15" hidden="false" customHeight="false" outlineLevel="0" collapsed="false">
      <c r="A11" s="36" t="s">
        <v>153</v>
      </c>
      <c r="B11" s="36" t="s">
        <v>141</v>
      </c>
      <c r="C11" s="30" t="s">
        <v>93</v>
      </c>
      <c r="D11" s="29" t="n">
        <v>46356</v>
      </c>
      <c r="E11" s="30" t="n">
        <v>40</v>
      </c>
      <c r="H11" s="20" t="s">
        <v>167</v>
      </c>
      <c r="I11" s="21" t="n">
        <f aca="false">SUMIFS($E$6:$E$120,$A$6:$A$120,$H11,$D$6:$D$120,I$5)/Capacity</f>
        <v>0.642857142857143</v>
      </c>
      <c r="J11" s="21" t="n">
        <f aca="false">SUMIFS($E$6:$E$120,$A$6:$A$120,$H11,$D$6:$D$120,J$5)/Capacity</f>
        <v>0.642857142857143</v>
      </c>
      <c r="K11" s="21" t="n">
        <f aca="false">SUMIFS($E$6:$E$120,$A$6:$A$120,$H11,$D$6:$D$120,K$5)/Capacity</f>
        <v>0.714285714285714</v>
      </c>
      <c r="L11" s="21" t="n">
        <f aca="false">MAX(I11:K11)</f>
        <v>0.714285714285714</v>
      </c>
      <c r="M11" s="23" t="str">
        <f aca="false">IF(L11&gt;1,"Overbooked","")</f>
        <v/>
      </c>
    </row>
    <row r="12" customFormat="false" ht="15" hidden="false" customHeight="false" outlineLevel="0" collapsed="false">
      <c r="A12" s="36" t="s">
        <v>153</v>
      </c>
      <c r="B12" s="36" t="s">
        <v>141</v>
      </c>
      <c r="C12" s="30" t="s">
        <v>99</v>
      </c>
      <c r="D12" s="29" t="n">
        <v>46356</v>
      </c>
      <c r="E12" s="30" t="n">
        <v>90</v>
      </c>
      <c r="H12" s="20" t="s">
        <v>184</v>
      </c>
      <c r="I12" s="21" t="n">
        <f aca="false">SUMIFS($E$6:$E$120,$A$6:$A$120,$H12,$D$6:$D$120,I$5)/Capacity</f>
        <v>1.2</v>
      </c>
      <c r="J12" s="21" t="n">
        <f aca="false">SUMIFS($E$6:$E$120,$A$6:$A$120,$H12,$D$6:$D$120,J$5)/Capacity</f>
        <v>0.857142857142857</v>
      </c>
      <c r="K12" s="21" t="n">
        <f aca="false">SUMIFS($E$6:$E$120,$A$6:$A$120,$H12,$D$6:$D$120,K$5)/Capacity</f>
        <v>0.5</v>
      </c>
      <c r="L12" s="21" t="n">
        <f aca="false">MAX(I12:K12)</f>
        <v>1.2</v>
      </c>
      <c r="M12" s="23" t="str">
        <f aca="false">IF(L12&gt;1,"Overbooked","")</f>
        <v>Overbooked</v>
      </c>
    </row>
    <row r="13" customFormat="false" ht="15" hidden="false" customHeight="false" outlineLevel="0" collapsed="false">
      <c r="A13" s="36" t="s">
        <v>153</v>
      </c>
      <c r="B13" s="36" t="s">
        <v>141</v>
      </c>
      <c r="C13" s="30" t="s">
        <v>99</v>
      </c>
      <c r="D13" s="29" t="n">
        <v>46387</v>
      </c>
      <c r="E13" s="30" t="n">
        <v>60</v>
      </c>
      <c r="H13" s="20" t="s">
        <v>185</v>
      </c>
      <c r="I13" s="21" t="n">
        <f aca="false">SUMIFS($E$6:$E$120,$A$6:$A$120,$H13,$D$6:$D$120,I$5)/Capacity</f>
        <v>0.857142857142857</v>
      </c>
      <c r="J13" s="21" t="n">
        <f aca="false">SUMIFS($E$6:$E$120,$A$6:$A$120,$H13,$D$6:$D$120,J$5)/Capacity</f>
        <v>1.07142857142857</v>
      </c>
      <c r="K13" s="21" t="n">
        <f aca="false">SUMIFS($E$6:$E$120,$A$6:$A$120,$H13,$D$6:$D$120,K$5)/Capacity</f>
        <v>0.285714285714286</v>
      </c>
      <c r="L13" s="21" t="n">
        <f aca="false">MAX(I13:K13)</f>
        <v>1.07142857142857</v>
      </c>
      <c r="M13" s="23" t="str">
        <f aca="false">IF(L13&gt;1,"Overbooked","")</f>
        <v>Overbooked</v>
      </c>
    </row>
    <row r="14" customFormat="false" ht="15" hidden="false" customHeight="false" outlineLevel="0" collapsed="false">
      <c r="A14" s="36" t="s">
        <v>153</v>
      </c>
      <c r="B14" s="36" t="s">
        <v>141</v>
      </c>
      <c r="C14" s="30" t="s">
        <v>103</v>
      </c>
      <c r="D14" s="29" t="n">
        <v>46418</v>
      </c>
      <c r="E14" s="30" t="n">
        <v>30</v>
      </c>
      <c r="H14" s="20" t="s">
        <v>186</v>
      </c>
      <c r="I14" s="21" t="n">
        <f aca="false">SUMIFS($E$6:$E$120,$A$6:$A$120,$H14,$D$6:$D$120,I$5)/Capacity</f>
        <v>0.214285714285714</v>
      </c>
      <c r="J14" s="21" t="n">
        <f aca="false">SUMIFS($E$6:$E$120,$A$6:$A$120,$H14,$D$6:$D$120,J$5)/Capacity</f>
        <v>0.214285714285714</v>
      </c>
      <c r="K14" s="21" t="n">
        <f aca="false">SUMIFS($E$6:$E$120,$A$6:$A$120,$H14,$D$6:$D$120,K$5)/Capacity</f>
        <v>0</v>
      </c>
      <c r="L14" s="21" t="n">
        <f aca="false">MAX(I14:K14)</f>
        <v>0.214285714285714</v>
      </c>
      <c r="M14" s="23" t="str">
        <f aca="false">IF(L14&gt;1,"Overbooked","")</f>
        <v/>
      </c>
    </row>
    <row r="15" customFormat="false" ht="15" hidden="false" customHeight="false" outlineLevel="0" collapsed="false">
      <c r="A15" s="36" t="s">
        <v>163</v>
      </c>
      <c r="B15" s="36" t="s">
        <v>141</v>
      </c>
      <c r="C15" s="30" t="s">
        <v>101</v>
      </c>
      <c r="D15" s="29" t="n">
        <v>46356</v>
      </c>
      <c r="E15" s="30" t="n">
        <v>60</v>
      </c>
    </row>
    <row r="16" customFormat="false" ht="15" hidden="false" customHeight="false" outlineLevel="0" collapsed="false">
      <c r="A16" s="36" t="s">
        <v>163</v>
      </c>
      <c r="B16" s="36" t="s">
        <v>141</v>
      </c>
      <c r="C16" s="30" t="s">
        <v>124</v>
      </c>
      <c r="D16" s="29" t="n">
        <v>46356</v>
      </c>
      <c r="E16" s="30" t="n">
        <v>60</v>
      </c>
      <c r="H16" s="46" t="s">
        <v>187</v>
      </c>
    </row>
    <row r="17" customFormat="false" ht="15" hidden="false" customHeight="false" outlineLevel="0" collapsed="false">
      <c r="A17" s="36" t="s">
        <v>163</v>
      </c>
      <c r="B17" s="36" t="s">
        <v>141</v>
      </c>
      <c r="C17" s="30" t="s">
        <v>101</v>
      </c>
      <c r="D17" s="29" t="n">
        <v>46387</v>
      </c>
      <c r="E17" s="30" t="n">
        <v>60</v>
      </c>
    </row>
    <row r="18" customFormat="false" ht="15" hidden="false" customHeight="false" outlineLevel="0" collapsed="false">
      <c r="A18" s="36" t="s">
        <v>163</v>
      </c>
      <c r="B18" s="36" t="s">
        <v>141</v>
      </c>
      <c r="C18" s="30" t="s">
        <v>124</v>
      </c>
      <c r="D18" s="29" t="n">
        <v>46387</v>
      </c>
      <c r="E18" s="30" t="n">
        <v>40</v>
      </c>
    </row>
    <row r="19" customFormat="false" ht="15" hidden="false" customHeight="false" outlineLevel="0" collapsed="false">
      <c r="A19" s="36" t="s">
        <v>163</v>
      </c>
      <c r="B19" s="36" t="s">
        <v>141</v>
      </c>
      <c r="C19" s="30" t="s">
        <v>101</v>
      </c>
      <c r="D19" s="29" t="n">
        <v>46418</v>
      </c>
      <c r="E19" s="30" t="n">
        <v>90</v>
      </c>
    </row>
    <row r="20" customFormat="false" ht="15" hidden="false" customHeight="false" outlineLevel="0" collapsed="false">
      <c r="A20" s="36" t="s">
        <v>159</v>
      </c>
      <c r="B20" s="36" t="s">
        <v>141</v>
      </c>
      <c r="C20" s="30" t="s">
        <v>103</v>
      </c>
      <c r="D20" s="29" t="n">
        <v>46356</v>
      </c>
      <c r="E20" s="30" t="n">
        <v>70</v>
      </c>
    </row>
    <row r="21" customFormat="false" ht="15" hidden="false" customHeight="false" outlineLevel="0" collapsed="false">
      <c r="A21" s="36" t="s">
        <v>159</v>
      </c>
      <c r="B21" s="36" t="s">
        <v>141</v>
      </c>
      <c r="C21" s="30" t="s">
        <v>103</v>
      </c>
      <c r="D21" s="29" t="n">
        <v>46387</v>
      </c>
      <c r="E21" s="30" t="n">
        <v>70</v>
      </c>
    </row>
    <row r="22" customFormat="false" ht="15" hidden="false" customHeight="false" outlineLevel="0" collapsed="false">
      <c r="A22" s="36" t="s">
        <v>159</v>
      </c>
      <c r="B22" s="36" t="s">
        <v>141</v>
      </c>
      <c r="C22" s="30" t="s">
        <v>103</v>
      </c>
      <c r="D22" s="29" t="n">
        <v>46418</v>
      </c>
      <c r="E22" s="30" t="n">
        <v>50</v>
      </c>
    </row>
    <row r="23" customFormat="false" ht="15" hidden="false" customHeight="false" outlineLevel="0" collapsed="false">
      <c r="A23" s="36" t="s">
        <v>167</v>
      </c>
      <c r="B23" s="36" t="s">
        <v>141</v>
      </c>
      <c r="C23" s="30" t="s">
        <v>111</v>
      </c>
      <c r="D23" s="29" t="n">
        <v>46356</v>
      </c>
      <c r="E23" s="30" t="n">
        <v>90</v>
      </c>
    </row>
    <row r="24" customFormat="false" ht="15" hidden="false" customHeight="false" outlineLevel="0" collapsed="false">
      <c r="A24" s="36" t="s">
        <v>167</v>
      </c>
      <c r="B24" s="36" t="s">
        <v>141</v>
      </c>
      <c r="C24" s="30" t="s">
        <v>111</v>
      </c>
      <c r="D24" s="29" t="n">
        <v>46387</v>
      </c>
      <c r="E24" s="30" t="n">
        <v>90</v>
      </c>
    </row>
    <row r="25" customFormat="false" ht="15" hidden="false" customHeight="false" outlineLevel="0" collapsed="false">
      <c r="A25" s="36" t="s">
        <v>167</v>
      </c>
      <c r="B25" s="36" t="s">
        <v>141</v>
      </c>
      <c r="C25" s="30" t="s">
        <v>111</v>
      </c>
      <c r="D25" s="29" t="n">
        <v>46418</v>
      </c>
      <c r="E25" s="30" t="n">
        <v>100</v>
      </c>
    </row>
    <row r="26" customFormat="false" ht="15" hidden="false" customHeight="false" outlineLevel="0" collapsed="false">
      <c r="A26" s="36" t="s">
        <v>184</v>
      </c>
      <c r="B26" s="36" t="s">
        <v>188</v>
      </c>
      <c r="C26" s="30" t="s">
        <v>90</v>
      </c>
      <c r="D26" s="29" t="n">
        <v>46356</v>
      </c>
      <c r="E26" s="30" t="n">
        <v>90</v>
      </c>
    </row>
    <row r="27" customFormat="false" ht="15" hidden="false" customHeight="false" outlineLevel="0" collapsed="false">
      <c r="A27" s="36" t="s">
        <v>184</v>
      </c>
      <c r="B27" s="36" t="s">
        <v>188</v>
      </c>
      <c r="C27" s="30" t="s">
        <v>95</v>
      </c>
      <c r="D27" s="29" t="n">
        <v>46356</v>
      </c>
      <c r="E27" s="30" t="n">
        <v>40</v>
      </c>
    </row>
    <row r="28" customFormat="false" ht="15" hidden="false" customHeight="false" outlineLevel="0" collapsed="false">
      <c r="A28" s="36" t="s">
        <v>184</v>
      </c>
      <c r="B28" s="36" t="s">
        <v>188</v>
      </c>
      <c r="C28" s="30" t="s">
        <v>101</v>
      </c>
      <c r="D28" s="29" t="n">
        <v>46356</v>
      </c>
      <c r="E28" s="30" t="n">
        <v>38</v>
      </c>
    </row>
    <row r="29" customFormat="false" ht="15" hidden="false" customHeight="false" outlineLevel="0" collapsed="false">
      <c r="A29" s="36" t="s">
        <v>184</v>
      </c>
      <c r="B29" s="36" t="s">
        <v>188</v>
      </c>
      <c r="C29" s="30" t="s">
        <v>90</v>
      </c>
      <c r="D29" s="29" t="n">
        <v>46387</v>
      </c>
      <c r="E29" s="30" t="n">
        <v>80</v>
      </c>
    </row>
    <row r="30" customFormat="false" ht="15" hidden="false" customHeight="false" outlineLevel="0" collapsed="false">
      <c r="A30" s="36" t="s">
        <v>184</v>
      </c>
      <c r="B30" s="36" t="s">
        <v>188</v>
      </c>
      <c r="C30" s="30" t="s">
        <v>101</v>
      </c>
      <c r="D30" s="29" t="n">
        <v>46387</v>
      </c>
      <c r="E30" s="30" t="n">
        <v>40</v>
      </c>
    </row>
    <row r="31" customFormat="false" ht="15" hidden="false" customHeight="false" outlineLevel="0" collapsed="false">
      <c r="A31" s="36" t="s">
        <v>184</v>
      </c>
      <c r="B31" s="36" t="s">
        <v>188</v>
      </c>
      <c r="C31" s="30" t="s">
        <v>101</v>
      </c>
      <c r="D31" s="29" t="n">
        <v>46418</v>
      </c>
      <c r="E31" s="30" t="n">
        <v>70</v>
      </c>
    </row>
    <row r="32" customFormat="false" ht="15" hidden="false" customHeight="false" outlineLevel="0" collapsed="false">
      <c r="A32" s="36" t="s">
        <v>185</v>
      </c>
      <c r="B32" s="36" t="s">
        <v>189</v>
      </c>
      <c r="C32" s="30" t="s">
        <v>124</v>
      </c>
      <c r="D32" s="29" t="n">
        <v>46356</v>
      </c>
      <c r="E32" s="30" t="n">
        <v>80</v>
      </c>
    </row>
    <row r="33" customFormat="false" ht="15" hidden="false" customHeight="false" outlineLevel="0" collapsed="false">
      <c r="A33" s="36" t="s">
        <v>185</v>
      </c>
      <c r="B33" s="36" t="s">
        <v>189</v>
      </c>
      <c r="C33" s="30" t="s">
        <v>90</v>
      </c>
      <c r="D33" s="29" t="n">
        <v>46356</v>
      </c>
      <c r="E33" s="30" t="n">
        <v>40</v>
      </c>
    </row>
    <row r="34" customFormat="false" ht="15" hidden="false" customHeight="false" outlineLevel="0" collapsed="false">
      <c r="A34" s="36" t="s">
        <v>185</v>
      </c>
      <c r="B34" s="36" t="s">
        <v>189</v>
      </c>
      <c r="C34" s="30" t="s">
        <v>124</v>
      </c>
      <c r="D34" s="29" t="n">
        <v>46387</v>
      </c>
      <c r="E34" s="30" t="n">
        <v>90</v>
      </c>
    </row>
    <row r="35" customFormat="false" ht="15" hidden="false" customHeight="false" outlineLevel="0" collapsed="false">
      <c r="A35" s="36" t="s">
        <v>185</v>
      </c>
      <c r="B35" s="36" t="s">
        <v>189</v>
      </c>
      <c r="C35" s="30" t="s">
        <v>90</v>
      </c>
      <c r="D35" s="29" t="n">
        <v>46387</v>
      </c>
      <c r="E35" s="30" t="n">
        <v>60</v>
      </c>
    </row>
    <row r="36" customFormat="false" ht="15" hidden="false" customHeight="false" outlineLevel="0" collapsed="false">
      <c r="A36" s="36" t="s">
        <v>185</v>
      </c>
      <c r="B36" s="36" t="s">
        <v>189</v>
      </c>
      <c r="C36" s="30" t="s">
        <v>95</v>
      </c>
      <c r="D36" s="29" t="n">
        <v>46418</v>
      </c>
      <c r="E36" s="30" t="n">
        <v>40</v>
      </c>
    </row>
    <row r="37" customFormat="false" ht="15" hidden="false" customHeight="false" outlineLevel="0" collapsed="false">
      <c r="A37" s="36" t="s">
        <v>186</v>
      </c>
      <c r="B37" s="36" t="s">
        <v>190</v>
      </c>
      <c r="C37" s="30" t="s">
        <v>103</v>
      </c>
      <c r="D37" s="29" t="n">
        <v>46356</v>
      </c>
      <c r="E37" s="30" t="n">
        <v>30</v>
      </c>
    </row>
    <row r="38" customFormat="false" ht="15" hidden="false" customHeight="false" outlineLevel="0" collapsed="false">
      <c r="A38" s="36" t="s">
        <v>186</v>
      </c>
      <c r="B38" s="36" t="s">
        <v>190</v>
      </c>
      <c r="C38" s="30" t="s">
        <v>103</v>
      </c>
      <c r="D38" s="29" t="n">
        <v>46387</v>
      </c>
      <c r="E38" s="30" t="n">
        <v>30</v>
      </c>
    </row>
    <row r="39" customFormat="false" ht="15" hidden="false" customHeight="false" outlineLevel="0" collapsed="false">
      <c r="D39" s="37"/>
    </row>
    <row r="40" customFormat="false" ht="15" hidden="false" customHeight="false" outlineLevel="0" collapsed="false">
      <c r="D40" s="37"/>
    </row>
    <row r="41" customFormat="false" ht="15" hidden="false" customHeight="false" outlineLevel="0" collapsed="false">
      <c r="D41" s="37"/>
    </row>
    <row r="42" customFormat="false" ht="15" hidden="false" customHeight="false" outlineLevel="0" collapsed="false">
      <c r="D42" s="37"/>
    </row>
    <row r="43" customFormat="false" ht="15" hidden="false" customHeight="false" outlineLevel="0" collapsed="false">
      <c r="D43" s="37"/>
    </row>
    <row r="44" customFormat="false" ht="15" hidden="false" customHeight="false" outlineLevel="0" collapsed="false">
      <c r="D44" s="37"/>
    </row>
    <row r="45" customFormat="false" ht="15" hidden="false" customHeight="false" outlineLevel="0" collapsed="false">
      <c r="D45" s="37"/>
    </row>
    <row r="46" customFormat="false" ht="15" hidden="false" customHeight="false" outlineLevel="0" collapsed="false">
      <c r="D46" s="37"/>
    </row>
    <row r="47" customFormat="false" ht="15" hidden="false" customHeight="false" outlineLevel="0" collapsed="false">
      <c r="D47" s="37"/>
    </row>
    <row r="48" customFormat="false" ht="15" hidden="false" customHeight="false" outlineLevel="0" collapsed="false">
      <c r="D48" s="37"/>
    </row>
    <row r="49" customFormat="false" ht="15" hidden="false" customHeight="false" outlineLevel="0" collapsed="false">
      <c r="D49" s="37"/>
    </row>
    <row r="50" customFormat="false" ht="15" hidden="false" customHeight="false" outlineLevel="0" collapsed="false">
      <c r="D50" s="37"/>
    </row>
    <row r="51" customFormat="false" ht="15" hidden="false" customHeight="false" outlineLevel="0" collapsed="false">
      <c r="D51" s="37"/>
    </row>
    <row r="52" customFormat="false" ht="15" hidden="false" customHeight="false" outlineLevel="0" collapsed="false">
      <c r="D52" s="37"/>
    </row>
    <row r="53" customFormat="false" ht="15" hidden="false" customHeight="false" outlineLevel="0" collapsed="false">
      <c r="D53" s="37"/>
    </row>
    <row r="54" customFormat="false" ht="15" hidden="false" customHeight="false" outlineLevel="0" collapsed="false">
      <c r="D54" s="37"/>
    </row>
    <row r="55" customFormat="false" ht="15" hidden="false" customHeight="false" outlineLevel="0" collapsed="false">
      <c r="D55" s="37"/>
    </row>
    <row r="56" customFormat="false" ht="15" hidden="false" customHeight="false" outlineLevel="0" collapsed="false">
      <c r="D56" s="37"/>
    </row>
    <row r="57" customFormat="false" ht="15" hidden="false" customHeight="false" outlineLevel="0" collapsed="false">
      <c r="D57" s="37"/>
    </row>
    <row r="58" customFormat="false" ht="15" hidden="false" customHeight="false" outlineLevel="0" collapsed="false">
      <c r="D58" s="37"/>
    </row>
    <row r="59" customFormat="false" ht="15" hidden="false" customHeight="false" outlineLevel="0" collapsed="false">
      <c r="D59" s="37"/>
    </row>
    <row r="60" customFormat="false" ht="15" hidden="false" customHeight="false" outlineLevel="0" collapsed="false">
      <c r="D60" s="37"/>
    </row>
    <row r="61" customFormat="false" ht="15" hidden="false" customHeight="false" outlineLevel="0" collapsed="false">
      <c r="D61" s="37"/>
    </row>
    <row r="62" customFormat="false" ht="15" hidden="false" customHeight="false" outlineLevel="0" collapsed="false">
      <c r="D62" s="37"/>
    </row>
    <row r="63" customFormat="false" ht="15" hidden="false" customHeight="false" outlineLevel="0" collapsed="false">
      <c r="D63" s="37"/>
    </row>
    <row r="64" customFormat="false" ht="15" hidden="false" customHeight="false" outlineLevel="0" collapsed="false">
      <c r="D64" s="37"/>
    </row>
    <row r="65" customFormat="false" ht="15" hidden="false" customHeight="false" outlineLevel="0" collapsed="false">
      <c r="D65" s="37"/>
    </row>
    <row r="66" customFormat="false" ht="15" hidden="false" customHeight="false" outlineLevel="0" collapsed="false">
      <c r="D66" s="37"/>
    </row>
    <row r="67" customFormat="false" ht="15" hidden="false" customHeight="false" outlineLevel="0" collapsed="false">
      <c r="D67" s="37"/>
    </row>
    <row r="68" customFormat="false" ht="15" hidden="false" customHeight="false" outlineLevel="0" collapsed="false">
      <c r="D68" s="37"/>
    </row>
    <row r="69" customFormat="false" ht="15" hidden="false" customHeight="false" outlineLevel="0" collapsed="false">
      <c r="D69" s="37"/>
    </row>
    <row r="70" customFormat="false" ht="15" hidden="false" customHeight="false" outlineLevel="0" collapsed="false">
      <c r="D70" s="37"/>
    </row>
    <row r="71" customFormat="false" ht="15" hidden="false" customHeight="false" outlineLevel="0" collapsed="false">
      <c r="D71" s="37"/>
    </row>
    <row r="72" customFormat="false" ht="15" hidden="false" customHeight="false" outlineLevel="0" collapsed="false">
      <c r="D72" s="37"/>
    </row>
    <row r="73" customFormat="false" ht="15" hidden="false" customHeight="false" outlineLevel="0" collapsed="false">
      <c r="D73" s="37"/>
    </row>
    <row r="74" customFormat="false" ht="15" hidden="false" customHeight="false" outlineLevel="0" collapsed="false">
      <c r="D74" s="37"/>
    </row>
    <row r="75" customFormat="false" ht="15" hidden="false" customHeight="false" outlineLevel="0" collapsed="false">
      <c r="D75" s="37"/>
    </row>
    <row r="76" customFormat="false" ht="15" hidden="false" customHeight="false" outlineLevel="0" collapsed="false">
      <c r="D76" s="37"/>
    </row>
    <row r="77" customFormat="false" ht="15" hidden="false" customHeight="false" outlineLevel="0" collapsed="false">
      <c r="D77" s="37"/>
    </row>
    <row r="78" customFormat="false" ht="15" hidden="false" customHeight="false" outlineLevel="0" collapsed="false">
      <c r="D78" s="37"/>
    </row>
    <row r="79" customFormat="false" ht="15" hidden="false" customHeight="false" outlineLevel="0" collapsed="false">
      <c r="D79" s="37"/>
    </row>
    <row r="80" customFormat="false" ht="15" hidden="false" customHeight="false" outlineLevel="0" collapsed="false">
      <c r="D80" s="37"/>
    </row>
    <row r="81" customFormat="false" ht="15" hidden="false" customHeight="false" outlineLevel="0" collapsed="false">
      <c r="D81" s="37"/>
    </row>
    <row r="82" customFormat="false" ht="15" hidden="false" customHeight="false" outlineLevel="0" collapsed="false">
      <c r="D82" s="37"/>
    </row>
    <row r="83" customFormat="false" ht="15" hidden="false" customHeight="false" outlineLevel="0" collapsed="false">
      <c r="D83" s="37"/>
    </row>
    <row r="84" customFormat="false" ht="15" hidden="false" customHeight="false" outlineLevel="0" collapsed="false">
      <c r="D84" s="37"/>
    </row>
    <row r="85" customFormat="false" ht="15" hidden="false" customHeight="false" outlineLevel="0" collapsed="false">
      <c r="D85" s="37"/>
    </row>
    <row r="86" customFormat="false" ht="15" hidden="false" customHeight="false" outlineLevel="0" collapsed="false">
      <c r="D86" s="37"/>
    </row>
    <row r="87" customFormat="false" ht="15" hidden="false" customHeight="false" outlineLevel="0" collapsed="false">
      <c r="D87" s="37"/>
    </row>
    <row r="88" customFormat="false" ht="15" hidden="false" customHeight="false" outlineLevel="0" collapsed="false">
      <c r="D88" s="37"/>
    </row>
    <row r="89" customFormat="false" ht="15" hidden="false" customHeight="false" outlineLevel="0" collapsed="false">
      <c r="D89" s="37"/>
    </row>
    <row r="90" customFormat="false" ht="15" hidden="false" customHeight="false" outlineLevel="0" collapsed="false">
      <c r="D90" s="37"/>
    </row>
    <row r="91" customFormat="false" ht="15" hidden="false" customHeight="false" outlineLevel="0" collapsed="false">
      <c r="D91" s="37"/>
    </row>
    <row r="92" customFormat="false" ht="15" hidden="false" customHeight="false" outlineLevel="0" collapsed="false">
      <c r="D92" s="37"/>
    </row>
    <row r="93" customFormat="false" ht="15" hidden="false" customHeight="false" outlineLevel="0" collapsed="false">
      <c r="D93" s="37"/>
    </row>
    <row r="94" customFormat="false" ht="15" hidden="false" customHeight="false" outlineLevel="0" collapsed="false">
      <c r="D94" s="37"/>
    </row>
    <row r="95" customFormat="false" ht="15" hidden="false" customHeight="false" outlineLevel="0" collapsed="false">
      <c r="D95" s="37"/>
    </row>
    <row r="96" customFormat="false" ht="15" hidden="false" customHeight="false" outlineLevel="0" collapsed="false">
      <c r="D96" s="37"/>
    </row>
    <row r="97" customFormat="false" ht="15" hidden="false" customHeight="false" outlineLevel="0" collapsed="false">
      <c r="D97" s="37"/>
    </row>
    <row r="98" customFormat="false" ht="15" hidden="false" customHeight="false" outlineLevel="0" collapsed="false">
      <c r="D98" s="37"/>
    </row>
    <row r="99" customFormat="false" ht="15" hidden="false" customHeight="false" outlineLevel="0" collapsed="false">
      <c r="D99" s="37"/>
    </row>
    <row r="100" customFormat="false" ht="15" hidden="false" customHeight="false" outlineLevel="0" collapsed="false">
      <c r="D100" s="37"/>
    </row>
    <row r="101" customFormat="false" ht="15" hidden="false" customHeight="false" outlineLevel="0" collapsed="false">
      <c r="D101" s="37"/>
    </row>
    <row r="102" customFormat="false" ht="15" hidden="false" customHeight="false" outlineLevel="0" collapsed="false">
      <c r="D102" s="37"/>
    </row>
    <row r="103" customFormat="false" ht="15" hidden="false" customHeight="false" outlineLevel="0" collapsed="false">
      <c r="D103" s="37"/>
    </row>
    <row r="104" customFormat="false" ht="15" hidden="false" customHeight="false" outlineLevel="0" collapsed="false">
      <c r="D104" s="37"/>
    </row>
    <row r="105" customFormat="false" ht="15" hidden="false" customHeight="false" outlineLevel="0" collapsed="false">
      <c r="D105" s="37"/>
    </row>
    <row r="106" customFormat="false" ht="15" hidden="false" customHeight="false" outlineLevel="0" collapsed="false">
      <c r="D106" s="37"/>
    </row>
    <row r="107" customFormat="false" ht="15" hidden="false" customHeight="false" outlineLevel="0" collapsed="false">
      <c r="D107" s="37"/>
    </row>
    <row r="108" customFormat="false" ht="15" hidden="false" customHeight="false" outlineLevel="0" collapsed="false">
      <c r="D108" s="37"/>
    </row>
    <row r="109" customFormat="false" ht="15" hidden="false" customHeight="false" outlineLevel="0" collapsed="false">
      <c r="D109" s="37"/>
    </row>
    <row r="110" customFormat="false" ht="15" hidden="false" customHeight="false" outlineLevel="0" collapsed="false">
      <c r="D110" s="37"/>
    </row>
    <row r="111" customFormat="false" ht="15" hidden="false" customHeight="false" outlineLevel="0" collapsed="false">
      <c r="D111" s="37"/>
    </row>
    <row r="112" customFormat="false" ht="15" hidden="false" customHeight="false" outlineLevel="0" collapsed="false">
      <c r="D112" s="37"/>
    </row>
    <row r="113" customFormat="false" ht="15" hidden="false" customHeight="false" outlineLevel="0" collapsed="false">
      <c r="D113" s="37"/>
    </row>
    <row r="114" customFormat="false" ht="15" hidden="false" customHeight="false" outlineLevel="0" collapsed="false">
      <c r="D114" s="37"/>
    </row>
    <row r="115" customFormat="false" ht="15" hidden="false" customHeight="false" outlineLevel="0" collapsed="false">
      <c r="D115" s="37"/>
    </row>
    <row r="116" customFormat="false" ht="15" hidden="false" customHeight="false" outlineLevel="0" collapsed="false">
      <c r="D116" s="37"/>
    </row>
    <row r="117" customFormat="false" ht="15" hidden="false" customHeight="false" outlineLevel="0" collapsed="false">
      <c r="D117" s="37"/>
    </row>
    <row r="118" customFormat="false" ht="15" hidden="false" customHeight="false" outlineLevel="0" collapsed="false">
      <c r="D118" s="37"/>
    </row>
    <row r="119" customFormat="false" ht="15" hidden="false" customHeight="false" outlineLevel="0" collapsed="false">
      <c r="D119" s="37"/>
    </row>
    <row r="120" customFormat="false" ht="15" hidden="false" customHeight="false" outlineLevel="0" collapsed="false">
      <c r="D120" s="37"/>
    </row>
  </sheetData>
  <conditionalFormatting sqref="I7:L14">
    <cfRule type="cellIs" priority="2" operator="greaterThan" aboveAverage="0" equalAverage="0" bottom="0" percent="0" rank="0" text="" dxfId="3">
      <formula>1</formula>
    </cfRule>
    <cfRule type="cellIs" priority="3" operator="between" aboveAverage="0" equalAverage="0" bottom="0" percent="0" rank="0" text="" dxfId="6">
      <formula>0.9</formula>
      <formula>1</formula>
    </cfRule>
  </conditionalFormatting>
  <conditionalFormatting sqref="M7:M14">
    <cfRule type="cellIs" priority="4" operator="equal" aboveAverage="0" equalAverage="0" bottom="0" percent="0" rank="0" text="" dxfId="3">
      <formula>"Overbooked"</formula>
    </cfRule>
  </conditionalFormatting>
  <dataValidations count="3">
    <dataValidation allowBlank="true" errorStyle="stop" operator="between" showDropDown="false" showErrorMessage="false" showInputMessage="false" sqref="A6:A120" type="list">
      <formula1>Lists!$E$5:$E$12</formula1>
      <formula2>0</formula2>
    </dataValidation>
    <dataValidation allowBlank="true" errorStyle="stop" operator="between" showDropDown="false" showErrorMessage="false" showInputMessage="false" sqref="B6:B120" type="list">
      <formula1>Lists!$F$5:$F$8</formula1>
      <formula2>0</formula2>
    </dataValidation>
    <dataValidation allowBlank="true" errorStyle="stop" operator="between" showDropDown="false" showErrorMessage="false" showInputMessage="false" sqref="C6:C120" type="list">
      <formula1>Project_Register!$A$6:$A$40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7F8E"/>
    <pageSetUpPr fitToPage="true"/>
  </sheetPr>
  <dimension ref="A1:D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3" min="2" style="0" width="11"/>
    <col collapsed="false" customWidth="true" hidden="false" outlineLevel="0" max="4" min="4" style="0" width="70"/>
  </cols>
  <sheetData>
    <row r="1" customFormat="false" ht="19.7" hidden="false" customHeight="false" outlineLevel="0" collapsed="false">
      <c r="A1" s="9" t="s">
        <v>191</v>
      </c>
    </row>
    <row r="2" customFormat="false" ht="15" hidden="false" customHeight="false" outlineLevel="0" collapsed="false">
      <c r="A2" s="2" t="s">
        <v>192</v>
      </c>
    </row>
    <row r="3" customFormat="false" ht="15" hidden="false" customHeight="false" outlineLevel="0" collapsed="false">
      <c r="A3" s="27"/>
      <c r="B3" s="28" t="s">
        <v>74</v>
      </c>
    </row>
    <row r="4" customFormat="false" ht="30" hidden="false" customHeight="true" outlineLevel="0" collapsed="false">
      <c r="A4" s="19" t="s">
        <v>193</v>
      </c>
      <c r="B4" s="19" t="s">
        <v>194</v>
      </c>
      <c r="C4" s="19" t="s">
        <v>195</v>
      </c>
      <c r="D4" s="19" t="s">
        <v>196</v>
      </c>
    </row>
    <row r="5" customFormat="false" ht="30" hidden="false" customHeight="true" outlineLevel="0" collapsed="false">
      <c r="A5" s="7" t="s">
        <v>197</v>
      </c>
      <c r="B5" s="30" t="n">
        <v>-5</v>
      </c>
      <c r="C5" s="30" t="n">
        <v>-15</v>
      </c>
      <c r="D5" s="7" t="s">
        <v>198</v>
      </c>
    </row>
    <row r="6" customFormat="false" ht="30" hidden="false" customHeight="true" outlineLevel="0" collapsed="false">
      <c r="A6" s="7" t="s">
        <v>199</v>
      </c>
      <c r="B6" s="31" t="n">
        <v>1</v>
      </c>
      <c r="C6" s="31" t="n">
        <v>1.1</v>
      </c>
      <c r="D6" s="7" t="s">
        <v>200</v>
      </c>
    </row>
    <row r="7" customFormat="false" ht="30" hidden="false" customHeight="true" outlineLevel="0" collapsed="false">
      <c r="A7" s="7" t="s">
        <v>201</v>
      </c>
      <c r="B7" s="30" t="n">
        <v>0</v>
      </c>
      <c r="C7" s="30" t="n">
        <v>30</v>
      </c>
      <c r="D7" s="7" t="s">
        <v>202</v>
      </c>
    </row>
    <row r="8" customFormat="false" ht="30" hidden="false" customHeight="true" outlineLevel="0" collapsed="false">
      <c r="A8" s="7" t="s">
        <v>203</v>
      </c>
      <c r="B8" s="30" t="n">
        <v>5</v>
      </c>
      <c r="C8" s="30"/>
      <c r="D8" s="7" t="s">
        <v>204</v>
      </c>
    </row>
    <row r="10" customFormat="false" ht="15" hidden="false" customHeight="false" outlineLevel="0" collapsed="false">
      <c r="A10" s="47" t="s">
        <v>205</v>
      </c>
    </row>
    <row r="11" customFormat="false" ht="15" hidden="false" customHeight="false" outlineLevel="0" collapsed="false">
      <c r="A11" s="48" t="s">
        <v>206</v>
      </c>
    </row>
  </sheetData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D3DF"/>
    <pageSetUpPr fitToPage="true"/>
  </sheetPr>
  <dimension ref="A1:G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7" min="1" style="0" width="18"/>
  </cols>
  <sheetData>
    <row r="1" customFormat="false" ht="19.7" hidden="false" customHeight="false" outlineLevel="0" collapsed="false">
      <c r="A1" s="9" t="s">
        <v>31</v>
      </c>
    </row>
    <row r="2" customFormat="false" ht="15" hidden="false" customHeight="false" outlineLevel="0" collapsed="false">
      <c r="A2" s="2" t="s">
        <v>207</v>
      </c>
    </row>
    <row r="4" customFormat="false" ht="30" hidden="false" customHeight="true" outlineLevel="0" collapsed="false">
      <c r="A4" s="19" t="s">
        <v>208</v>
      </c>
      <c r="B4" s="19" t="s">
        <v>209</v>
      </c>
      <c r="C4" s="19" t="s">
        <v>210</v>
      </c>
      <c r="D4" s="19" t="s">
        <v>211</v>
      </c>
      <c r="E4" s="19" t="s">
        <v>212</v>
      </c>
      <c r="F4" s="19" t="s">
        <v>177</v>
      </c>
      <c r="G4" s="19" t="s">
        <v>142</v>
      </c>
    </row>
    <row r="5" customFormat="false" ht="15" hidden="false" customHeight="false" outlineLevel="0" collapsed="false">
      <c r="A5" s="36" t="s">
        <v>148</v>
      </c>
      <c r="B5" s="36" t="s">
        <v>92</v>
      </c>
      <c r="C5" s="36" t="s">
        <v>69</v>
      </c>
      <c r="D5" s="29" t="n">
        <v>46234</v>
      </c>
      <c r="E5" s="36" t="s">
        <v>184</v>
      </c>
      <c r="F5" s="36" t="s">
        <v>141</v>
      </c>
      <c r="G5" s="36" t="s">
        <v>164</v>
      </c>
    </row>
    <row r="6" customFormat="false" ht="15" hidden="false" customHeight="false" outlineLevel="0" collapsed="false">
      <c r="A6" s="36" t="s">
        <v>152</v>
      </c>
      <c r="B6" s="36" t="s">
        <v>128</v>
      </c>
      <c r="C6" s="36" t="s">
        <v>70</v>
      </c>
      <c r="D6" s="29" t="n">
        <v>46265</v>
      </c>
      <c r="E6" s="36" t="s">
        <v>149</v>
      </c>
      <c r="F6" s="36" t="s">
        <v>188</v>
      </c>
      <c r="G6" s="36" t="s">
        <v>170</v>
      </c>
    </row>
    <row r="7" customFormat="false" ht="15" hidden="false" customHeight="false" outlineLevel="0" collapsed="false">
      <c r="A7" s="36" t="s">
        <v>158</v>
      </c>
      <c r="B7" s="36" t="s">
        <v>120</v>
      </c>
      <c r="C7" s="36" t="s">
        <v>71</v>
      </c>
      <c r="D7" s="29" t="n">
        <v>46295</v>
      </c>
      <c r="E7" s="36" t="s">
        <v>163</v>
      </c>
      <c r="F7" s="36" t="s">
        <v>189</v>
      </c>
      <c r="G7" s="36" t="s">
        <v>168</v>
      </c>
    </row>
    <row r="8" customFormat="false" ht="15" hidden="false" customHeight="false" outlineLevel="0" collapsed="false">
      <c r="A8" s="36" t="s">
        <v>162</v>
      </c>
      <c r="B8" s="36"/>
      <c r="C8" s="36"/>
      <c r="D8" s="29" t="n">
        <v>46326</v>
      </c>
      <c r="E8" s="36" t="s">
        <v>167</v>
      </c>
      <c r="F8" s="36" t="s">
        <v>190</v>
      </c>
      <c r="G8" s="36" t="s">
        <v>154</v>
      </c>
    </row>
    <row r="9" customFormat="false" ht="15" hidden="false" customHeight="false" outlineLevel="0" collapsed="false">
      <c r="A9" s="36" t="s">
        <v>166</v>
      </c>
      <c r="B9" s="36"/>
      <c r="C9" s="36"/>
      <c r="D9" s="36"/>
      <c r="E9" s="36" t="s">
        <v>186</v>
      </c>
      <c r="F9" s="36"/>
      <c r="G9" s="36" t="s">
        <v>156</v>
      </c>
    </row>
    <row r="10" customFormat="false" ht="15" hidden="false" customHeight="false" outlineLevel="0" collapsed="false">
      <c r="A10" s="36"/>
      <c r="B10" s="36"/>
      <c r="C10" s="36"/>
      <c r="D10" s="36"/>
      <c r="E10" s="36" t="s">
        <v>159</v>
      </c>
      <c r="F10" s="36"/>
      <c r="G10" s="36" t="s">
        <v>150</v>
      </c>
    </row>
    <row r="11" customFormat="false" ht="15" hidden="false" customHeight="false" outlineLevel="0" collapsed="false">
      <c r="A11" s="36"/>
      <c r="B11" s="36"/>
      <c r="C11" s="36"/>
      <c r="D11" s="36"/>
      <c r="E11" s="36" t="s">
        <v>153</v>
      </c>
      <c r="F11" s="36"/>
      <c r="G11" s="36"/>
    </row>
    <row r="12" customFormat="false" ht="15" hidden="false" customHeight="false" outlineLevel="0" collapsed="false">
      <c r="A12" s="36"/>
      <c r="B12" s="36"/>
      <c r="C12" s="36"/>
      <c r="D12" s="36"/>
      <c r="E12" s="36" t="s">
        <v>185</v>
      </c>
      <c r="F12" s="36"/>
      <c r="G12" s="36"/>
    </row>
  </sheetData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2026-10-01T16:59:05Z</dcterms:created>
  <dc:creator>openpyxl</dc:creator>
  <dc:description/>
  <dc:language>en-US</dc:language>
  <cp:lastModifiedBy/>
  <dcterms:modified xsi:type="dcterms:W3CDTF">2026-10-01T12:59:07Z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