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README" sheetId="1" state="visible" r:id="rId3"/>
    <sheet name="Eval_Dashboard" sheetId="2" state="visible" r:id="rId4"/>
    <sheet name="Rubric" sheetId="3" state="visible" r:id="rId5"/>
    <sheet name="Clip_Log" sheetId="4" state="visible" r:id="rId6"/>
    <sheet name="Failure_Taxonomy" sheetId="5" state="visible" r:id="rId7"/>
    <sheet name="Consistency_Check" sheetId="6" state="visible" r:id="rId8"/>
    <sheet name="Lists" sheetId="7" state="visible" r:id="rId9"/>
  </sheets>
  <calcPr iterateCount="100" refMode="A1" iterate="false" iterateDelta="0.0001" fullCalcOnLoad="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<sst xmlns="http://schemas.openxmlformats.org/spreadsheetml/2006/main" count="543" uniqueCount="223">
  <si>
    <t xml:space="preserve">AI Audio Evaluation: Scoring Workbook</t>
  </si>
  <si>
    <t xml:space="preserve">Built by Adam J. Asifo (Claude by Anthropic assisted with formulas and testing) · adamjasifo@gmail.com</t>
  </si>
  <si>
    <t xml:space="preserve">What this is</t>
  </si>
  <si>
    <t xml:space="preserve">The scoring tool for judging AI-generated music clips the same way every time: six areas scored 1–5 with written examples, failure codes with timestamps, weighted scores, pass/fail, a model-vs-model comparison and a consistency check.</t>
  </si>
  <si>
    <t xml:space="preserve">The scores in this file are an illustrative sample batch so every formula has something to show. They are not real listening results.</t>
  </si>
  <si>
    <t xml:space="preserve">Start here: you only need these 4 things</t>
  </si>
  <si>
    <t xml:space="preserve">Don't get overwhelmed. Most of this file fills itself in. These are the only places you type or pick something; everything else updates on its own.</t>
  </si>
  <si>
    <t xml:space="preserve">Where</t>
  </si>
  <si>
    <t xml:space="preserve">What you do</t>
  </si>
  <si>
    <t xml:space="preserve">What happens</t>
  </si>
  <si>
    <t xml:space="preserve">Clip_Log → columns E to J</t>
  </si>
  <si>
    <t xml:space="preserve">Pick a score from 1 to 5 for each of the six areas. Leave Vocal intelligibility (I) blank if the clip has no vocals.</t>
  </si>
  <si>
    <t xml:space="preserve">The weighted score, the 0–100 score and pass/fail calculate themselves.</t>
  </si>
  <si>
    <t xml:space="preserve">Clip_Log → columns K to N</t>
  </si>
  <si>
    <t xml:space="preserve">Pick Y or N for Hard fail, and pick up to 3 failure codes (F01–F12) from the drop-downs.</t>
  </si>
  <si>
    <t xml:space="preserve">Failure_Taxonomy counts every code by model.</t>
  </si>
  <si>
    <t xml:space="preserve">Rubric → column B (Weight)</t>
  </si>
  <si>
    <t xml:space="preserve">Optional: change how much each area counts.</t>
  </si>
  <si>
    <t xml:space="preserve">Every score updates. The check in C11 turns red if the weights don't add up to 100%.</t>
  </si>
  <si>
    <t xml:space="preserve">Consistency_Check → column D (Session 2)</t>
  </si>
  <si>
    <t xml:space="preserve">Five or more days later, re-score the same 10 clips without looking (pick 1–5).</t>
  </si>
  <si>
    <t xml:space="preserve">Agreement, drift and a standard agreement score (weighted kappa) calculate themselves.</t>
  </si>
  <si>
    <t xml:space="preserve">Yellow cells = you type or pick from a list. Cells with a small arrow have a drop-down menu: click the cell, then the arrow, and pick a word. White cells are formulas, so leave them alone.</t>
  </si>
  <si>
    <t xml:space="preserve">What each tab is for</t>
  </si>
  <si>
    <t xml:space="preserve">Eval_Dashboard</t>
  </si>
  <si>
    <t xml:space="preserve">The summary for a model team: model vs. model, pass rate, top failure types.</t>
  </si>
  <si>
    <t xml:space="preserve">Rubric</t>
  </si>
  <si>
    <t xml:space="preserve">The six areas, their weights, and what a 1, 3 and 5 sound like.</t>
  </si>
  <si>
    <t xml:space="preserve">Clip_Log</t>
  </si>
  <si>
    <t xml:space="preserve">One row per clip: scores, failure codes, first timestamp and a short written reason.</t>
  </si>
  <si>
    <t xml:space="preserve">Failure_Taxonomy</t>
  </si>
  <si>
    <t xml:space="preserve">The 12 failure codes and how often each one showed up, by model.</t>
  </si>
  <si>
    <t xml:space="preserve">Consistency_Check</t>
  </si>
  <si>
    <t xml:space="preserve">Re-scoring the same clips later to see if my scores hold up.</t>
  </si>
  <si>
    <t xml:space="preserve">Lists</t>
  </si>
  <si>
    <t xml:space="preserve">The choices in every drop-down.</t>
  </si>
  <si>
    <t xml:space="preserve">Try it (1 minute)</t>
  </si>
  <si>
    <t xml:space="preserve">1. Go to the Rubric tab and change the first weight (cell B5) from 20% to 30%.</t>
  </si>
  <si>
    <t xml:space="preserve">2. The weights now add up to 110%, so cell C11 turns red: 'Weights must add up to 100%'.</t>
  </si>
  <si>
    <t xml:space="preserve">3. Change it back to 20%.</t>
  </si>
  <si>
    <t xml:space="preserve">To undo, press Ctrl+Z (Cmd+Z on a Mac).</t>
  </si>
  <si>
    <t xml:space="preserve">Good to know</t>
  </si>
  <si>
    <t xml:space="preserve">• Blank on purpose: Vocal intelligibility is empty for instrumental clips (there are no words to judge), and the matching rows on Consistency_Check are empty too. Unused tag columns are empty when a clip had fewer than 3 problems.</t>
  </si>
  <si>
    <t xml:space="preserve">• The full guidelines PDF (on the same portfolio site) explains every score and every failure code.</t>
  </si>
  <si>
    <t xml:space="preserve">• Works in Excel 2010 or newer (Windows or Mac), Excel online and Google Sheets. Formulas only, no macros, so no security warnings.</t>
  </si>
  <si>
    <t xml:space="preserve">• All companies, people, dates and dollar amounts are fictional sample data.</t>
  </si>
  <si>
    <t xml:space="preserve">Evaluation Dashboard — Model A vs Model B</t>
  </si>
  <si>
    <t xml:space="preserve">SAMPLE SCORES: an illustrative batch that shows how the scoring works. Not real listening results.</t>
  </si>
  <si>
    <t xml:space="preserve">Clips scored</t>
  </si>
  <si>
    <t xml:space="preserve">Model A — avg score (0–100)</t>
  </si>
  <si>
    <t xml:space="preserve">Model B — avg score (0–100)</t>
  </si>
  <si>
    <t xml:space="preserve">Self-agreement (kappa)</t>
  </si>
  <si>
    <t xml:space="preserve">Average score by dimension (1–5)</t>
  </si>
  <si>
    <t xml:space="preserve">Results</t>
  </si>
  <si>
    <t xml:space="preserve">Dimension</t>
  </si>
  <si>
    <t xml:space="preserve">Model A</t>
  </si>
  <si>
    <t xml:space="preserve">Model B</t>
  </si>
  <si>
    <t xml:space="preserve">Gap (A − B)</t>
  </si>
  <si>
    <t xml:space="preserve">Result</t>
  </si>
  <si>
    <t xml:space="preserve">Prompt adherence</t>
  </si>
  <si>
    <t xml:space="preserve">Pass</t>
  </si>
  <si>
    <t xml:space="preserve">Structure &amp; arrangement</t>
  </si>
  <si>
    <t xml:space="preserve">Fail</t>
  </si>
  <si>
    <t xml:space="preserve">Mix balance &amp; clarity</t>
  </si>
  <si>
    <t xml:space="preserve">Hard fail</t>
  </si>
  <si>
    <t xml:space="preserve">Artifacts &amp; fidelity</t>
  </si>
  <si>
    <t xml:space="preserve">Pass rate</t>
  </si>
  <si>
    <t xml:space="preserve">Vocal intelligibility</t>
  </si>
  <si>
    <t xml:space="preserve">Timing &amp; groove</t>
  </si>
  <si>
    <t xml:space="preserve">Top failure modes</t>
  </si>
  <si>
    <t xml:space="preserve">Code</t>
  </si>
  <si>
    <t xml:space="preserve">Failure mode</t>
  </si>
  <si>
    <t xml:space="preserve">Tagged</t>
  </si>
  <si>
    <t xml:space="preserve">Scoring Rubric — AI-Generated Music Clips</t>
  </si>
  <si>
    <t xml:space="preserve">Score each dimension 1–5 using the anchors. Weights are editable; vocal intelligibility is skipped (N/A) on instrumental prompts and the weights rebalance.</t>
  </si>
  <si>
    <t xml:space="preserve">Yellow cells = you type or pick from a list here.  White cells fill themselves in (don't type over them).</t>
  </si>
  <si>
    <t xml:space="preserve">Weight</t>
  </si>
  <si>
    <t xml:space="preserve">1 — Unusable</t>
  </si>
  <si>
    <t xml:space="preserve">3 — Acceptable with flaws</t>
  </si>
  <si>
    <t xml:space="preserve">5 — Release-ready</t>
  </si>
  <si>
    <t xml:space="preserve">Ignores the prompt: wrong genre, tempo or mood.</t>
  </si>
  <si>
    <t xml:space="preserve">Right genre and mood; one requested element missing or off (e.g. wrong tempo feel, missing instrument).</t>
  </si>
  <si>
    <t xml:space="preserve">Every requested element present: genre, tempo, mood, instruments, vocal type.</t>
  </si>
  <si>
    <t xml:space="preserve">No recognizable sections; ideas start and stop at random.</t>
  </si>
  <si>
    <t xml:space="preserve">Clear sections, but at least one transition is abrupt or a section overstays.</t>
  </si>
  <si>
    <t xml:space="preserve">Sections build and resolve; transitions feel intentional.</t>
  </si>
  <si>
    <t xml:space="preserve">Key elements are buried or overpowering; low end or vocals mask everything.</t>
  </si>
  <si>
    <t xml:space="preserve">Balanced on headphones, but one element masks another in busy passages.</t>
  </si>
  <si>
    <t xml:space="preserve">Every element has its own space; translates on headphones and laptop speakers.</t>
  </si>
  <si>
    <t xml:space="preserve">Artifacts obvious on laptop speakers: smearing, metallic swirl, clipping.</t>
  </si>
  <si>
    <t xml:space="preserve">Artifacts audible only on close headphone listening, in one or two spots.</t>
  </si>
  <si>
    <t xml:space="preserve">No audible artifacts on close headphone listening.</t>
  </si>
  <si>
    <t xml:space="preserve">Lyrics unintelligible; syllables collapse into mush.</t>
  </si>
  <si>
    <t xml:space="preserve">Most words clear; consonant clusters or fast passages blur.</t>
  </si>
  <si>
    <t xml:space="preserve">Every word intelligible at normal volume; natural phrasing.</t>
  </si>
  <si>
    <t xml:space="preserve">Tempo drifts or rhythm parts fall out of time.</t>
  </si>
  <si>
    <t xml:space="preserve">Mostly steady; one section rushes, drags or loses the pocket.</t>
  </si>
  <si>
    <t xml:space="preserve">Locked groove from start to finish.</t>
  </si>
  <si>
    <t xml:space="preserve">Total weight</t>
  </si>
  <si>
    <t xml:space="preserve">Scores of 2 and 4 sit between the anchors. Hard fail (score overridden to 0): silence or dropouts, clipping throughout, completely wrong genre, or an obvious imitation of a specific real artist or song.</t>
  </si>
  <si>
    <t xml:space="preserve">Pass threshold (weighted score, 1–5)</t>
  </si>
  <si>
    <t xml:space="preserve">Failure mode (tag up to 3 per clip, with a timestamp)</t>
  </si>
  <si>
    <t xml:space="preserve">F01</t>
  </si>
  <si>
    <t xml:space="preserve">Transient smearing — drums lose their attack</t>
  </si>
  <si>
    <t xml:space="preserve">F02</t>
  </si>
  <si>
    <t xml:space="preserve">Metallic or phasey high end (hats, cymbals, 'underwater' swirl)</t>
  </si>
  <si>
    <t xml:space="preserve">F03</t>
  </si>
  <si>
    <t xml:space="preserve">Vocal phoneme collapse — words blur, esp. consonant clusters</t>
  </si>
  <si>
    <t xml:space="preserve">F04</t>
  </si>
  <si>
    <t xml:space="preserve">Tempo or timing drift</t>
  </si>
  <si>
    <t xml:space="preserve">F05</t>
  </si>
  <si>
    <t xml:space="preserve">Structural incoherence — sections don't connect</t>
  </si>
  <si>
    <t xml:space="preserve">F06</t>
  </si>
  <si>
    <t xml:space="preserve">Muddy low end / frequency masking</t>
  </si>
  <si>
    <t xml:space="preserve">F07</t>
  </si>
  <si>
    <t xml:space="preserve">Unintended clipping or harsh distortion</t>
  </si>
  <si>
    <t xml:space="preserve">F08</t>
  </si>
  <si>
    <t xml:space="preserve">Stereo image collapsed or lopsided</t>
  </si>
  <si>
    <t xml:space="preserve">F09</t>
  </si>
  <si>
    <t xml:space="preserve">Prompt miss — genre or mood</t>
  </si>
  <si>
    <t xml:space="preserve">F10</t>
  </si>
  <si>
    <t xml:space="preserve">Prompt miss — instruments or vocals</t>
  </si>
  <si>
    <t xml:space="preserve">F11</t>
  </si>
  <si>
    <t xml:space="preserve">Artifact tail — phantom reverb or noise at start/end</t>
  </si>
  <si>
    <t xml:space="preserve">F12</t>
  </si>
  <si>
    <t xml:space="preserve">Repetition loop — gets stuck on a phrase</t>
  </si>
  <si>
    <t xml:space="preserve">Clip Scoring Log</t>
  </si>
  <si>
    <t xml:space="preserve">Clip ID</t>
  </si>
  <si>
    <t xml:space="preserve">Model</t>
  </si>
  <si>
    <t xml:space="preserve">Prompt (genre · tempo · mood · vocals)</t>
  </si>
  <si>
    <t xml:space="preserve">Vocals?</t>
  </si>
  <si>
    <t xml:space="preserve">Hard fail?</t>
  </si>
  <si>
    <t xml:space="preserve">Tag 1</t>
  </si>
  <si>
    <t xml:space="preserve">Tag 2</t>
  </si>
  <si>
    <t xml:space="preserve">Tag 3</t>
  </si>
  <si>
    <t xml:space="preserve">First issue at (mm:ss)</t>
  </si>
  <si>
    <t xml:space="preserve">Rationale (1–2 sentences)</t>
  </si>
  <si>
    <t xml:space="preserve">Weighted score (1–5)</t>
  </si>
  <si>
    <t xml:space="preserve">Score 0–100</t>
  </si>
  <si>
    <t xml:space="preserve">C01</t>
  </si>
  <si>
    <t xml:space="preserve">Boom-bap hip-hop · 90 BPM · gritty · male rap vocal</t>
  </si>
  <si>
    <t xml:space="preserve">Y</t>
  </si>
  <si>
    <t xml:space="preserve">N</t>
  </si>
  <si>
    <t xml:space="preserve">0:21</t>
  </si>
  <si>
    <t xml:space="preserve">Hi-hats turn metallic from 0:21 (F02); lyrics blur in the hook (F03).</t>
  </si>
  <si>
    <t xml:space="preserve">C02</t>
  </si>
  <si>
    <t xml:space="preserve">0:24</t>
  </si>
  <si>
    <t xml:space="preserve">Snare and kick lose their attack from 0:24 (F01); lyrics blur in the hook (F03).</t>
  </si>
  <si>
    <t xml:space="preserve">C03</t>
  </si>
  <si>
    <t xml:space="preserve">Lo-fi hip-hop · 75 BPM · mellow · instrumental</t>
  </si>
  <si>
    <t xml:space="preserve">No major failures tagged; small mix and timing issues keep it below a 5.</t>
  </si>
  <si>
    <t xml:space="preserve">C04</t>
  </si>
  <si>
    <t xml:space="preserve">0:15</t>
  </si>
  <si>
    <t xml:space="preserve">Snare and kick lose their attack from 0:15 (F01); requested instrument or vocal missing (F10).</t>
  </si>
  <si>
    <t xml:space="preserve">C05</t>
  </si>
  <si>
    <t xml:space="preserve">Trap · 140 BPM · dark · melodic vocal</t>
  </si>
  <si>
    <t xml:space="preserve">0:19</t>
  </si>
  <si>
    <t xml:space="preserve">Lyrics blur in the hook from 0:19 (F03).</t>
  </si>
  <si>
    <t xml:space="preserve">C06</t>
  </si>
  <si>
    <t xml:space="preserve">C07</t>
  </si>
  <si>
    <t xml:space="preserve">Neo-soul · 85 BPM · warm · female vocal</t>
  </si>
  <si>
    <t xml:space="preserve">0:26</t>
  </si>
  <si>
    <t xml:space="preserve">Snare and kick lose their attack from 0:26 (F01).</t>
  </si>
  <si>
    <t xml:space="preserve">C08</t>
  </si>
  <si>
    <t xml:space="preserve">Snare and kick lose their attack from 0:26 (F01); lyrics blur in the hook (F03); section change is abrupt (F05).</t>
  </si>
  <si>
    <t xml:space="preserve">C09</t>
  </si>
  <si>
    <t xml:space="preserve">House · 124 BPM · uplifting · instrumental</t>
  </si>
  <si>
    <t xml:space="preserve">C10</t>
  </si>
  <si>
    <t xml:space="preserve">Hi-hats turn metallic from 0:19 (F02); genre or mood misses the prompt (F09).</t>
  </si>
  <si>
    <t xml:space="preserve">C11</t>
  </si>
  <si>
    <t xml:space="preserve">R&amp;B · 70 BPM · late-night · female vocal</t>
  </si>
  <si>
    <t xml:space="preserve">0:05</t>
  </si>
  <si>
    <t xml:space="preserve">Hi-hats turn metallic from 0:05 (F02); lyrics blur in the hook (F03).</t>
  </si>
  <si>
    <t xml:space="preserve">C12</t>
  </si>
  <si>
    <t xml:space="preserve">C13</t>
  </si>
  <si>
    <t xml:space="preserve">Drill · 142 BPM · aggressive · male rap vocal</t>
  </si>
  <si>
    <t xml:space="preserve">0:14</t>
  </si>
  <si>
    <t xml:space="preserve">Hi-hats turn metallic from 0:14 (F02); lyrics blur in the hook (F03).</t>
  </si>
  <si>
    <t xml:space="preserve">C14</t>
  </si>
  <si>
    <t xml:space="preserve">Hard fail: harsh clipping across the mix from 0:19 (F07); stray noise at the end (F11); lyrics blur in the hook (F03).</t>
  </si>
  <si>
    <t xml:space="preserve">C15</t>
  </si>
  <si>
    <t xml:space="preserve">Jazz trio · 110 BPM · relaxed · instrumental</t>
  </si>
  <si>
    <t xml:space="preserve">Hi-hats turn metallic from 0:14 (F02).</t>
  </si>
  <si>
    <t xml:space="preserve">C16</t>
  </si>
  <si>
    <t xml:space="preserve">0:11</t>
  </si>
  <si>
    <t xml:space="preserve">Stray noise at the end from 0:11 (F11).</t>
  </si>
  <si>
    <t xml:space="preserve">C17</t>
  </si>
  <si>
    <t xml:space="preserve">Gospel · 72 BPM · uplifting · choir</t>
  </si>
  <si>
    <t xml:space="preserve">0:13</t>
  </si>
  <si>
    <t xml:space="preserve">Stray noise at the end from 0:13 (F11); lyrics blur in the hook (F03).</t>
  </si>
  <si>
    <t xml:space="preserve">C18</t>
  </si>
  <si>
    <t xml:space="preserve">0:28</t>
  </si>
  <si>
    <t xml:space="preserve">Hi-hats turn metallic from 0:28 (F02); lyrics blur in the hook (F03).</t>
  </si>
  <si>
    <t xml:space="preserve">C19</t>
  </si>
  <si>
    <t xml:space="preserve">Afrobeats · 105 BPM · bright · male vocal</t>
  </si>
  <si>
    <t xml:space="preserve">Lyrics blur in the hook from 0:11 (F03).</t>
  </si>
  <si>
    <t xml:space="preserve">C20</t>
  </si>
  <si>
    <t xml:space="preserve">Hi-hats turn metallic from 0:14 (F02); lyrics blur in the hook (F03); section change is abrupt (F05).</t>
  </si>
  <si>
    <t xml:space="preserve">Failure Taxonomy — Counts &amp; Rates</t>
  </si>
  <si>
    <t xml:space="preserve">Counts every tag across Tag 1–3. Rate = share of scored clips showing that failure.</t>
  </si>
  <si>
    <t xml:space="preserve">Total</t>
  </si>
  <si>
    <t xml:space="preserve">% of clips</t>
  </si>
  <si>
    <t xml:space="preserve">Rank</t>
  </si>
  <si>
    <t xml:space="preserve">Consistency Check — Re-score 10 Clips After 5 Days</t>
  </si>
  <si>
    <t xml:space="preserve">Session 1 comes from the Clip_Log automatically. Enter Session 2 scores without looking at Session 1. SAMPLE SCORES: an illustrative batch that shows how the scoring works. Not real listening results.</t>
  </si>
  <si>
    <t xml:space="preserve">Session 1</t>
  </si>
  <si>
    <t xml:space="preserve">Session 2</t>
  </si>
  <si>
    <t xml:space="preserve">Difference</t>
  </si>
  <si>
    <t xml:space="preserve">Match?</t>
  </si>
  <si>
    <t xml:space="preserve">Abs diff</t>
  </si>
  <si>
    <t xml:space="preserve">Agreement summary</t>
  </si>
  <si>
    <t xml:space="preserve">Paired ratings</t>
  </si>
  <si>
    <t xml:space="preserve">Exact agreement</t>
  </si>
  <si>
    <t xml:space="preserve">Within ±1</t>
  </si>
  <si>
    <t xml:space="preserve">Mean absolute difference</t>
  </si>
  <si>
    <t xml:space="preserve">Quadratic weighted kappa</t>
  </si>
  <si>
    <t xml:space="preserve">Kappa guide: 0.81+ almost perfect · 0.61–0.80 substantial · 0.41–0.60 moderate (Landis &amp; Koch).</t>
  </si>
  <si>
    <t xml:space="preserve">Drift by dimension (Session 2 − Session 1)</t>
  </si>
  <si>
    <t xml:space="preserve">Observed counts (rows = Session 1, cols = Session 2)</t>
  </si>
  <si>
    <t xml:space="preserve">Expected counts if ratings were random</t>
  </si>
  <si>
    <t xml:space="preserve">Disagreement weights (i − j)² / 16</t>
  </si>
  <si>
    <t xml:space="preserve">Y/N</t>
  </si>
  <si>
    <t xml:space="preserve">Score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</si>
</sst>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0"/>
    <numFmt numFmtId="166" formatCode="0.00"/>
    <numFmt numFmtId="167" formatCode="0.0"/>
    <numFmt numFmtId="168" formatCode="\+0.0;\-0.0;0.0"/>
    <numFmt numFmtId="169" formatCode="General"/>
    <numFmt numFmtId="170" formatCode="0%"/>
    <numFmt numFmtId="171" formatCode="\+0.00;\-0.00;0.00"/>
  </numFmts>
  <fonts count="2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F3A5F"/>
      <name val="Arial"/>
      <family val="0"/>
      <charset val="1"/>
    </font>
    <font>
      <i val="true"/>
      <sz val="9"/>
      <color rgb="FF5B6B7F"/>
      <name val="Arial"/>
      <family val="0"/>
      <charset val="1"/>
    </font>
    <font>
      <b val="true"/>
      <sz val="12"/>
      <color rgb="FF2A7F8E"/>
      <name val="Arial"/>
      <family val="0"/>
      <charset val="1"/>
    </font>
    <font>
      <sz val="10"/>
      <color rgb="FF222222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222222"/>
      <name val="Arial"/>
      <family val="0"/>
      <charset val="1"/>
    </font>
    <font>
      <b val="true"/>
      <sz val="10"/>
      <color rgb="FF1F3A5F"/>
      <name val="Arial"/>
      <family val="0"/>
      <charset val="1"/>
    </font>
    <font>
      <b val="true"/>
      <sz val="16"/>
      <color rgb="FF1F3A5F"/>
      <name val="Arial"/>
      <family val="0"/>
      <charset val="1"/>
    </font>
    <font>
      <b val="true"/>
      <sz val="9"/>
      <color rgb="FF9B1C13"/>
      <name val="Arial"/>
      <family val="0"/>
      <charset val="1"/>
    </font>
    <font>
      <b val="true"/>
      <sz val="9"/>
      <color rgb="FF5B6B7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sz val="9"/>
      <color rgb="FF5B6B7F"/>
      <name val="Arial"/>
      <family val="0"/>
      <charset val="1"/>
    </font>
    <font>
      <sz val="10"/>
      <color rgb="FF0000FF"/>
      <name val="Arial"/>
      <family val="0"/>
      <charset val="1"/>
    </font>
    <font>
      <i val="true"/>
      <sz val="9"/>
      <color rgb="FF9B1C13"/>
      <name val="Arial"/>
      <family val="0"/>
      <charset val="1"/>
    </font>
    <font>
      <i val="true"/>
      <sz val="8"/>
      <color rgb="FF5B6B7F"/>
      <name val="Arial"/>
      <family val="0"/>
      <charset val="1"/>
    </font>
    <font>
      <b val="true"/>
      <sz val="9"/>
      <color rgb="FF2A7F8E"/>
      <name val="Arial"/>
      <family val="0"/>
      <charset val="1"/>
    </font>
    <font>
      <b val="true"/>
      <sz val="8"/>
      <color rgb="FF5B6B7F"/>
      <name val="Arial"/>
      <family val="0"/>
      <charset val="1"/>
    </font>
    <font>
      <sz val="8"/>
      <color rgb="FF222222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F3A5F"/>
        <bgColor rgb="FF333399"/>
      </patternFill>
    </fill>
    <fill>
      <patternFill patternType="solid">
        <fgColor rgb="FFFFF7D6"/>
        <bgColor rgb="FFFFFFFF"/>
      </patternFill>
    </fill>
    <fill>
      <patternFill patternType="solid">
        <fgColor rgb="FFEEF3F8"/>
        <bgColor rgb="FFFFFFFF"/>
      </patternFill>
    </fill>
    <fill>
      <patternFill patternType="solid">
        <fgColor rgb="FF2A7F8E"/>
        <bgColor rgb="FF00808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3DF"/>
      </left>
      <right style="thin">
        <color rgb="FFC9D3DF"/>
      </right>
      <top style="thin">
        <color rgb="FFC9D3DF"/>
      </top>
      <bottom style="thin">
        <color rgb="FFC9D3D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4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4" fillId="4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4" fillId="4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4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7" fontId="7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8" fontId="7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9" fontId="7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70" fontId="7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8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8" fillId="3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8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7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70" fontId="7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7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23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ont>
        <name val="Arial"/>
        <charset val="1"/>
        <family val="0"/>
        <b val="1"/>
        <color rgb="FF9B1C13"/>
      </font>
    </dxf>
    <dxf>
      <font>
        <name val="Arial"/>
        <charset val="1"/>
        <family val="0"/>
        <b val="1"/>
        <color rgb="FF1E6B35"/>
      </font>
      <fill>
        <patternFill>
          <bgColor rgb="FFD6F0DD"/>
        </patternFill>
      </fill>
    </dxf>
    <dxf>
      <font>
        <name val="Arial"/>
        <charset val="1"/>
        <family val="0"/>
        <b val="1"/>
        <color rgb="FF8A5A00"/>
      </font>
      <fill>
        <patternFill>
          <bgColor rgb="FFFFE8B3"/>
        </patternFill>
      </fill>
    </dxf>
    <dxf>
      <font>
        <name val="Arial"/>
        <charset val="1"/>
        <family val="0"/>
        <b val="1"/>
        <color rgb="FF9B1C13"/>
      </font>
      <fill>
        <patternFill>
          <bgColor rgb="FFF8D0C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E6B35"/>
      <rgbColor rgb="FF000080"/>
      <rgbColor rgb="FF8A5A00"/>
      <rgbColor rgb="FF800080"/>
      <rgbColor rgb="FF2A7F8E"/>
      <rgbColor rgb="FFD9D9D9"/>
      <rgbColor rgb="FF878787"/>
      <rgbColor rgb="FF9999FF"/>
      <rgbColor rgb="FFC0504D"/>
      <rgbColor rgb="FFFFF7D6"/>
      <rgbColor rgb="FFEEF3F8"/>
      <rgbColor rgb="FF660066"/>
      <rgbColor rgb="FFFF8080"/>
      <rgbColor rgb="FF0066CC"/>
      <rgbColor rgb="FFC9D3D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6F0DD"/>
      <rgbColor rgb="FFFFE8B3"/>
      <rgbColor rgb="FF99CCFF"/>
      <rgbColor rgb="FFFF99CC"/>
      <rgbColor rgb="FFCC99FF"/>
      <rgbColor rgb="FFF8D0CC"/>
      <rgbColor rgb="FF4F81BD"/>
      <rgbColor rgb="FF33CCCC"/>
      <rgbColor rgb="FF99CC00"/>
      <rgbColor rgb="FFFFCC00"/>
      <rgbColor rgb="FFFF9900"/>
      <rgbColor rgb="FFFF6600"/>
      <rgbColor rgb="FF5B6B7F"/>
      <rgbColor rgb="FF969696"/>
      <rgbColor rgb="FF1F3A5F"/>
      <rgbColor rgb="FF339966"/>
      <rgbColor rgb="FF003300"/>
      <rgbColor rgb="FF333300"/>
      <rgbColor rgb="FF9B1C13"/>
      <rgbColor rgb="FF993366"/>
      <rgbColor rgb="FF333399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Average score by dimension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Eval_Dashboard!B9</c:f>
              <c:strCache>
                <c:ptCount val="1"/>
                <c:pt idx="0">
                  <c:v>Model A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Eval_Dashboard!$A$10:$A$15</c:f>
              <c:strCache>
                <c:ptCount val="6"/>
                <c:pt idx="0">
                  <c:v>Prompt adherence</c:v>
                </c:pt>
                <c:pt idx="1">
                  <c:v>Structure &amp; arrangement</c:v>
                </c:pt>
                <c:pt idx="2">
                  <c:v>Mix balance &amp; clarity</c:v>
                </c:pt>
                <c:pt idx="3">
                  <c:v>Artifacts &amp; fidelity</c:v>
                </c:pt>
                <c:pt idx="4">
                  <c:v>Vocal intelligibility</c:v>
                </c:pt>
                <c:pt idx="5">
                  <c:v>Timing &amp; groove</c:v>
                </c:pt>
              </c:strCache>
            </c:strRef>
          </c:cat>
          <c:val>
            <c:numRef>
              <c:f>Eval_Dashboard!$B$10:$B$15</c:f>
              <c:numCache>
                <c:formatCode>0.0</c:formatCode>
                <c:ptCount val="6"/>
                <c:pt idx="0">
                  <c:v>3.6</c:v>
                </c:pt>
                <c:pt idx="1">
                  <c:v>3.5</c:v>
                </c:pt>
                <c:pt idx="2">
                  <c:v>3.9</c:v>
                </c:pt>
                <c:pt idx="3">
                  <c:v>3.4</c:v>
                </c:pt>
                <c:pt idx="4">
                  <c:v>3</c:v>
                </c:pt>
                <c:pt idx="5">
                  <c:v>3.7</c:v>
                </c:pt>
              </c:numCache>
            </c:numRef>
          </c:val>
        </c:ser>
        <c:ser>
          <c:idx val="1"/>
          <c:order val="1"/>
          <c:tx>
            <c:strRef>
              <c:f>Eval_Dashboard!C9</c:f>
              <c:strCache>
                <c:ptCount val="1"/>
                <c:pt idx="0">
                  <c:v>Model B</c:v>
                </c:pt>
              </c:strCache>
            </c:strRef>
          </c:tx>
          <c:spPr>
            <a:solidFill>
              <a:srgbClr val="c0504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Eval_Dashboard!$A$10:$A$15</c:f>
              <c:strCache>
                <c:ptCount val="6"/>
                <c:pt idx="0">
                  <c:v>Prompt adherence</c:v>
                </c:pt>
                <c:pt idx="1">
                  <c:v>Structure &amp; arrangement</c:v>
                </c:pt>
                <c:pt idx="2">
                  <c:v>Mix balance &amp; clarity</c:v>
                </c:pt>
                <c:pt idx="3">
                  <c:v>Artifacts &amp; fidelity</c:v>
                </c:pt>
                <c:pt idx="4">
                  <c:v>Vocal intelligibility</c:v>
                </c:pt>
                <c:pt idx="5">
                  <c:v>Timing &amp; groove</c:v>
                </c:pt>
              </c:strCache>
            </c:strRef>
          </c:cat>
          <c:val>
            <c:numRef>
              <c:f>Eval_Dashboard!$C$10:$C$15</c:f>
              <c:numCache>
                <c:formatCode>0.0</c:formatCode>
                <c:ptCount val="6"/>
                <c:pt idx="0">
                  <c:v>2.9</c:v>
                </c:pt>
                <c:pt idx="1">
                  <c:v>2.9</c:v>
                </c:pt>
                <c:pt idx="2">
                  <c:v>2.7</c:v>
                </c:pt>
                <c:pt idx="3">
                  <c:v>2.3</c:v>
                </c:pt>
                <c:pt idx="4">
                  <c:v>2.42857142857143</c:v>
                </c:pt>
                <c:pt idx="5">
                  <c:v>3.2</c:v>
                </c:pt>
              </c:numCache>
            </c:numRef>
          </c:val>
        </c:ser>
        <c:gapWidth val="150"/>
        <c:overlap val="0"/>
        <c:axId val="81643837"/>
        <c:axId val="36219544"/>
      </c:barChart>
      <c:catAx>
        <c:axId val="8164383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6219544"/>
        <c:crosses val="autoZero"/>
        <c:auto val="1"/>
        <c:lblAlgn val="ctr"/>
        <c:lblOffset val="100"/>
        <c:noMultiLvlLbl val="0"/>
      </c:catAx>
      <c:valAx>
        <c:axId val="36219544"/>
        <c:scaling>
          <c:orientation val="minMax"/>
          <c:max val="5"/>
          <c:min val="0"/>
        </c:scaling>
        <c:delete val="0"/>
        <c:axPos val="l"/>
        <c:numFmt formatCode="0.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1643837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Failure tags by model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stacked"/>
        <c:varyColors val="0"/>
        <c:ser>
          <c:idx val="0"/>
          <c:order val="0"/>
          <c:tx>
            <c:strRef>
              <c:f>Failure_Taxonomy!C4</c:f>
              <c:strCache>
                <c:ptCount val="1"/>
                <c:pt idx="0">
                  <c:v>Model A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Failure_Taxonomy!$A$5:$A$16</c:f>
              <c:strCache>
                <c:ptCount val="12"/>
                <c:pt idx="0">
                  <c:v>F01</c:v>
                </c:pt>
                <c:pt idx="1">
                  <c:v>F02</c:v>
                </c:pt>
                <c:pt idx="2">
                  <c:v>F03</c:v>
                </c:pt>
                <c:pt idx="3">
                  <c:v>F04</c:v>
                </c:pt>
                <c:pt idx="4">
                  <c:v>F05</c:v>
                </c:pt>
                <c:pt idx="5">
                  <c:v>F06</c:v>
                </c:pt>
                <c:pt idx="6">
                  <c:v>F07</c:v>
                </c:pt>
                <c:pt idx="7">
                  <c:v>F08</c:v>
                </c:pt>
                <c:pt idx="8">
                  <c:v>F09</c:v>
                </c:pt>
                <c:pt idx="9">
                  <c:v>F10</c:v>
                </c:pt>
                <c:pt idx="10">
                  <c:v>F11</c:v>
                </c:pt>
                <c:pt idx="11">
                  <c:v>F12</c:v>
                </c:pt>
              </c:strCache>
            </c:strRef>
          </c:cat>
          <c:val>
            <c:numRef>
              <c:f>Failure_Taxonomy!$C$5:$C$16</c:f>
              <c:numCache>
                <c:formatCode>General</c:formatCode>
                <c:ptCount val="12"/>
                <c:pt idx="0">
                  <c:v>1</c:v>
                </c:pt>
                <c:pt idx="1">
                  <c:v>4</c:v>
                </c:pt>
                <c:pt idx="2">
                  <c:v>6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</c:numCache>
            </c:numRef>
          </c:val>
        </c:ser>
        <c:ser>
          <c:idx val="1"/>
          <c:order val="1"/>
          <c:tx>
            <c:strRef>
              <c:f>Failure_Taxonomy!D4</c:f>
              <c:strCache>
                <c:ptCount val="1"/>
                <c:pt idx="0">
                  <c:v>Model B</c:v>
                </c:pt>
              </c:strCache>
            </c:strRef>
          </c:tx>
          <c:spPr>
            <a:solidFill>
              <a:srgbClr val="c0504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Failure_Taxonomy!$A$5:$A$16</c:f>
              <c:strCache>
                <c:ptCount val="12"/>
                <c:pt idx="0">
                  <c:v>F01</c:v>
                </c:pt>
                <c:pt idx="1">
                  <c:v>F02</c:v>
                </c:pt>
                <c:pt idx="2">
                  <c:v>F03</c:v>
                </c:pt>
                <c:pt idx="3">
                  <c:v>F04</c:v>
                </c:pt>
                <c:pt idx="4">
                  <c:v>F05</c:v>
                </c:pt>
                <c:pt idx="5">
                  <c:v>F06</c:v>
                </c:pt>
                <c:pt idx="6">
                  <c:v>F07</c:v>
                </c:pt>
                <c:pt idx="7">
                  <c:v>F08</c:v>
                </c:pt>
                <c:pt idx="8">
                  <c:v>F09</c:v>
                </c:pt>
                <c:pt idx="9">
                  <c:v>F10</c:v>
                </c:pt>
                <c:pt idx="10">
                  <c:v>F11</c:v>
                </c:pt>
                <c:pt idx="11">
                  <c:v>F12</c:v>
                </c:pt>
              </c:strCache>
            </c:strRef>
          </c:cat>
          <c:val>
            <c:numRef>
              <c:f>Failure_Taxonomy!$D$5:$D$16</c:f>
              <c:numCache>
                <c:formatCode>General</c:formatCode>
                <c:ptCount val="12"/>
                <c:pt idx="0">
                  <c:v>4</c:v>
                </c:pt>
                <c:pt idx="1">
                  <c:v>4</c:v>
                </c:pt>
                <c:pt idx="2">
                  <c:v>7</c:v>
                </c:pt>
                <c:pt idx="3">
                  <c:v>0</c:v>
                </c:pt>
                <c:pt idx="4">
                  <c:v>2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1</c:v>
                </c:pt>
                <c:pt idx="9">
                  <c:v>1</c:v>
                </c:pt>
                <c:pt idx="10">
                  <c:v>2</c:v>
                </c:pt>
                <c:pt idx="11">
                  <c:v>0</c:v>
                </c:pt>
              </c:numCache>
            </c:numRef>
          </c:val>
        </c:ser>
        <c:gapWidth val="150"/>
        <c:overlap val="100"/>
        <c:axId val="31946367"/>
        <c:axId val="46792596"/>
      </c:barChart>
      <c:catAx>
        <c:axId val="31946367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6792596"/>
        <c:crosses val="autoZero"/>
        <c:auto val="1"/>
        <c:lblAlgn val="ctr"/>
        <c:lblOffset val="100"/>
        <c:noMultiLvlLbl val="0"/>
      </c:catAx>
      <c:valAx>
        <c:axId val="467925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1946367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5</xdr:col>
      <xdr:colOff>0</xdr:colOff>
      <xdr:row>13</xdr:row>
      <xdr:rowOff>138600</xdr:rowOff>
    </xdr:from>
    <xdr:to>
      <xdr:col>13</xdr:col>
      <xdr:colOff>164880</xdr:colOff>
      <xdr:row>24</xdr:row>
      <xdr:rowOff>160560</xdr:rowOff>
    </xdr:to>
    <xdr:graphicFrame>
      <xdr:nvGraphicFramePr>
        <xdr:cNvPr id="0" name="Chart 1"/>
        <xdr:cNvGraphicFramePr/>
      </xdr:nvGraphicFramePr>
      <xdr:xfrm>
        <a:off x="4863600" y="3048120"/>
        <a:ext cx="575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8</xdr:col>
      <xdr:colOff>0</xdr:colOff>
      <xdr:row>2</xdr:row>
      <xdr:rowOff>131040</xdr:rowOff>
    </xdr:from>
    <xdr:to>
      <xdr:col>15</xdr:col>
      <xdr:colOff>399240</xdr:colOff>
      <xdr:row>18</xdr:row>
      <xdr:rowOff>132120</xdr:rowOff>
    </xdr:to>
    <xdr:graphicFrame>
      <xdr:nvGraphicFramePr>
        <xdr:cNvPr id="1" name="Chart 1"/>
        <xdr:cNvGraphicFramePr/>
      </xdr:nvGraphicFramePr>
      <xdr:xfrm>
        <a:off x="8294400" y="571680"/>
        <a:ext cx="467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5B6B7F"/>
    <pageSetUpPr fitToPage="true"/>
  </sheetPr>
  <dimension ref="B2:D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8"/>
    <col collapsed="false" customWidth="true" hidden="false" outlineLevel="0" max="3" min="3" style="0" width="48"/>
    <col collapsed="false" customWidth="true" hidden="false" outlineLevel="0" max="4" min="4" style="0" width="58"/>
  </cols>
  <sheetData>
    <row r="2" customFormat="false" ht="22.0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30" hidden="false" customHeight="true" outlineLevel="0" collapsed="false">
      <c r="B6" s="4" t="s">
        <v>3</v>
      </c>
      <c r="C6" s="4"/>
      <c r="D6" s="4"/>
    </row>
    <row r="7" customFormat="false" ht="30" hidden="false" customHeight="true" outlineLevel="0" collapsed="false">
      <c r="B7" s="4" t="s">
        <v>4</v>
      </c>
      <c r="C7" s="4"/>
      <c r="D7" s="4"/>
    </row>
    <row r="9" customFormat="false" ht="15" hidden="false" customHeight="false" outlineLevel="0" collapsed="false">
      <c r="B9" s="3" t="s">
        <v>5</v>
      </c>
    </row>
    <row r="10" customFormat="false" ht="30" hidden="false" customHeight="true" outlineLevel="0" collapsed="false">
      <c r="B10" s="4" t="s">
        <v>6</v>
      </c>
      <c r="C10" s="4"/>
      <c r="D10" s="4"/>
    </row>
    <row r="11" customFormat="false" ht="15" hidden="false" customHeight="false" outlineLevel="0" collapsed="false">
      <c r="B11" s="5" t="s">
        <v>7</v>
      </c>
      <c r="C11" s="5" t="s">
        <v>8</v>
      </c>
      <c r="D11" s="5" t="s">
        <v>9</v>
      </c>
    </row>
    <row r="12" customFormat="false" ht="48.75" hidden="false" customHeight="true" outlineLevel="0" collapsed="false">
      <c r="B12" s="6" t="s">
        <v>10</v>
      </c>
      <c r="C12" s="7" t="s">
        <v>11</v>
      </c>
      <c r="D12" s="7" t="s">
        <v>12</v>
      </c>
    </row>
    <row r="13" customFormat="false" ht="33.75" hidden="false" customHeight="true" outlineLevel="0" collapsed="false">
      <c r="B13" s="6" t="s">
        <v>13</v>
      </c>
      <c r="C13" s="7" t="s">
        <v>14</v>
      </c>
      <c r="D13" s="7" t="s">
        <v>15</v>
      </c>
    </row>
    <row r="14" customFormat="false" ht="33.75" hidden="false" customHeight="true" outlineLevel="0" collapsed="false">
      <c r="B14" s="6" t="s">
        <v>16</v>
      </c>
      <c r="C14" s="7" t="s">
        <v>17</v>
      </c>
      <c r="D14" s="7" t="s">
        <v>18</v>
      </c>
    </row>
    <row r="15" customFormat="false" ht="33.75" hidden="false" customHeight="true" outlineLevel="0" collapsed="false">
      <c r="B15" s="6" t="s">
        <v>19</v>
      </c>
      <c r="C15" s="7" t="s">
        <v>20</v>
      </c>
      <c r="D15" s="7" t="s">
        <v>21</v>
      </c>
    </row>
    <row r="16" customFormat="false" ht="30" hidden="false" customHeight="true" outlineLevel="0" collapsed="false">
      <c r="B16" s="4" t="s">
        <v>22</v>
      </c>
      <c r="C16" s="4"/>
      <c r="D16" s="4"/>
    </row>
    <row r="18" customFormat="false" ht="15" hidden="false" customHeight="false" outlineLevel="0" collapsed="false">
      <c r="B18" s="3" t="s">
        <v>23</v>
      </c>
    </row>
    <row r="19" customFormat="false" ht="15.75" hidden="false" customHeight="true" outlineLevel="0" collapsed="false">
      <c r="B19" s="8" t="s">
        <v>24</v>
      </c>
      <c r="C19" s="4" t="s">
        <v>25</v>
      </c>
      <c r="D19" s="4"/>
    </row>
    <row r="20" customFormat="false" ht="15.75" hidden="false" customHeight="true" outlineLevel="0" collapsed="false">
      <c r="B20" s="8" t="s">
        <v>26</v>
      </c>
      <c r="C20" s="4" t="s">
        <v>27</v>
      </c>
      <c r="D20" s="4"/>
    </row>
    <row r="21" customFormat="false" ht="15.75" hidden="false" customHeight="true" outlineLevel="0" collapsed="false">
      <c r="B21" s="8" t="s">
        <v>28</v>
      </c>
      <c r="C21" s="4" t="s">
        <v>29</v>
      </c>
      <c r="D21" s="4"/>
    </row>
    <row r="22" customFormat="false" ht="15.75" hidden="false" customHeight="true" outlineLevel="0" collapsed="false">
      <c r="B22" s="8" t="s">
        <v>30</v>
      </c>
      <c r="C22" s="4" t="s">
        <v>31</v>
      </c>
      <c r="D22" s="4"/>
    </row>
    <row r="23" customFormat="false" ht="15.75" hidden="false" customHeight="true" outlineLevel="0" collapsed="false">
      <c r="B23" s="8" t="s">
        <v>32</v>
      </c>
      <c r="C23" s="4" t="s">
        <v>33</v>
      </c>
      <c r="D23" s="4"/>
    </row>
    <row r="24" customFormat="false" ht="15.75" hidden="false" customHeight="true" outlineLevel="0" collapsed="false">
      <c r="B24" s="8" t="s">
        <v>34</v>
      </c>
      <c r="C24" s="4" t="s">
        <v>35</v>
      </c>
      <c r="D24" s="4"/>
    </row>
    <row r="26" customFormat="false" ht="15" hidden="false" customHeight="false" outlineLevel="0" collapsed="false">
      <c r="B26" s="3" t="s">
        <v>36</v>
      </c>
    </row>
    <row r="27" customFormat="false" ht="15.75" hidden="false" customHeight="true" outlineLevel="0" collapsed="false">
      <c r="B27" s="4" t="s">
        <v>37</v>
      </c>
      <c r="C27" s="4"/>
      <c r="D27" s="4"/>
    </row>
    <row r="28" customFormat="false" ht="15.75" hidden="false" customHeight="true" outlineLevel="0" collapsed="false">
      <c r="B28" s="4" t="s">
        <v>38</v>
      </c>
      <c r="C28" s="4"/>
      <c r="D28" s="4"/>
    </row>
    <row r="29" customFormat="false" ht="15.75" hidden="false" customHeight="true" outlineLevel="0" collapsed="false">
      <c r="B29" s="4" t="s">
        <v>39</v>
      </c>
      <c r="C29" s="4"/>
      <c r="D29" s="4"/>
    </row>
    <row r="30" customFormat="false" ht="15.75" hidden="false" customHeight="true" outlineLevel="0" collapsed="false">
      <c r="B30" s="4" t="s">
        <v>40</v>
      </c>
      <c r="C30" s="4"/>
      <c r="D30" s="4"/>
    </row>
    <row r="32" customFormat="false" ht="15" hidden="false" customHeight="false" outlineLevel="0" collapsed="false">
      <c r="B32" s="3" t="s">
        <v>41</v>
      </c>
    </row>
    <row r="33" customFormat="false" ht="30" hidden="false" customHeight="true" outlineLevel="0" collapsed="false">
      <c r="B33" s="4" t="s">
        <v>42</v>
      </c>
      <c r="C33" s="4"/>
      <c r="D33" s="4"/>
    </row>
    <row r="34" customFormat="false" ht="15.75" hidden="false" customHeight="true" outlineLevel="0" collapsed="false">
      <c r="B34" s="4" t="s">
        <v>43</v>
      </c>
      <c r="C34" s="4"/>
      <c r="D34" s="4"/>
    </row>
    <row r="35" customFormat="false" ht="30" hidden="false" customHeight="true" outlineLevel="0" collapsed="false">
      <c r="B35" s="4" t="s">
        <v>44</v>
      </c>
      <c r="C35" s="4"/>
      <c r="D35" s="4"/>
    </row>
    <row r="36" customFormat="false" ht="15.75" hidden="false" customHeight="true" outlineLevel="0" collapsed="false">
      <c r="B36" s="4" t="s">
        <v>45</v>
      </c>
      <c r="C36" s="4"/>
      <c r="D36" s="4"/>
    </row>
  </sheetData>
  <mergeCells count="18">
    <mergeCell ref="B6:D6"/>
    <mergeCell ref="B7:D7"/>
    <mergeCell ref="B10:D10"/>
    <mergeCell ref="B16:D16"/>
    <mergeCell ref="C19:D19"/>
    <mergeCell ref="C20:D20"/>
    <mergeCell ref="C21:D21"/>
    <mergeCell ref="C22:D22"/>
    <mergeCell ref="C23:D23"/>
    <mergeCell ref="C24:D24"/>
    <mergeCell ref="B27:D27"/>
    <mergeCell ref="B28:D28"/>
    <mergeCell ref="B29:D29"/>
    <mergeCell ref="B30:D30"/>
    <mergeCell ref="B33:D33"/>
    <mergeCell ref="B34:D34"/>
    <mergeCell ref="B35:D35"/>
    <mergeCell ref="B36:D36"/>
  </mergeCells>
  <printOptions headings="false" gridLines="false" gridLinesSet="true" horizontalCentered="true" verticalCentered="false"/>
  <pageMargins left="0.4" right="0.4" top="0.5" bottom="0.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3A5F"/>
    <pageSetUpPr fitToPage="true"/>
  </sheetPr>
  <dimension ref="A1:H2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6"/>
    <col collapsed="false" customWidth="true" hidden="false" outlineLevel="0" max="4" min="3" style="0" width="12"/>
    <col collapsed="false" customWidth="true" hidden="false" outlineLevel="0" max="5" min="5" style="0" width="3"/>
    <col collapsed="false" customWidth="true" hidden="false" outlineLevel="0" max="8" min="6" style="0" width="12"/>
  </cols>
  <sheetData>
    <row r="1" customFormat="false" ht="19.7" hidden="false" customHeight="false" outlineLevel="0" collapsed="false">
      <c r="A1" s="9" t="s">
        <v>46</v>
      </c>
    </row>
    <row r="2" customFormat="false" ht="15" hidden="false" customHeight="false" outlineLevel="0" collapsed="false">
      <c r="A2" s="10" t="s">
        <v>47</v>
      </c>
    </row>
    <row r="4" customFormat="false" ht="22.35" hidden="false" customHeight="true" outlineLevel="0" collapsed="false">
      <c r="A4" s="11" t="s">
        <v>48</v>
      </c>
      <c r="B4" s="11"/>
      <c r="C4" s="11" t="s">
        <v>49</v>
      </c>
      <c r="D4" s="11"/>
      <c r="E4" s="11" t="s">
        <v>50</v>
      </c>
      <c r="F4" s="11"/>
      <c r="G4" s="11" t="s">
        <v>51</v>
      </c>
      <c r="H4" s="11"/>
    </row>
    <row r="5" customFormat="false" ht="22.05" hidden="false" customHeight="false" outlineLevel="0" collapsed="false">
      <c r="A5" s="12" t="n">
        <f aca="false">COUNTA(Clip_Log!$A$5:$A$104)</f>
        <v>20</v>
      </c>
      <c r="B5" s="12"/>
      <c r="C5" s="12" t="n">
        <f aca="false">IFERROR(AVERAGEIFS(Clip_Log!$R$5:$R$104,Clip_Log!$B$5:$B$104,"Model A"),0)</f>
        <v>63.1</v>
      </c>
      <c r="D5" s="12"/>
      <c r="E5" s="12" t="n">
        <f aca="false">IFERROR(AVERAGEIFS(Clip_Log!$R$5:$R$104,Clip_Log!$B$5:$B$104,"Model B"),0)</f>
        <v>38.3</v>
      </c>
      <c r="F5" s="12"/>
      <c r="G5" s="13" t="n">
        <f aca="false">Consistency_Check!I9</f>
        <v>0.678303137428193</v>
      </c>
      <c r="H5" s="13"/>
    </row>
    <row r="8" customFormat="false" ht="15" hidden="false" customHeight="false" outlineLevel="0" collapsed="false">
      <c r="A8" s="14" t="s">
        <v>52</v>
      </c>
      <c r="B8" s="15"/>
      <c r="C8" s="15"/>
      <c r="D8" s="15"/>
      <c r="F8" s="14" t="s">
        <v>53</v>
      </c>
      <c r="G8" s="15"/>
      <c r="H8" s="15"/>
    </row>
    <row r="9" customFormat="false" ht="30" hidden="false" customHeight="true" outlineLevel="0" collapsed="false">
      <c r="A9" s="16" t="s">
        <v>54</v>
      </c>
      <c r="B9" s="16" t="s">
        <v>55</v>
      </c>
      <c r="C9" s="16" t="s">
        <v>56</v>
      </c>
      <c r="D9" s="16" t="s">
        <v>57</v>
      </c>
      <c r="F9" s="16" t="s">
        <v>58</v>
      </c>
      <c r="G9" s="16" t="s">
        <v>55</v>
      </c>
      <c r="H9" s="16" t="s">
        <v>56</v>
      </c>
    </row>
    <row r="10" customFormat="false" ht="15" hidden="false" customHeight="false" outlineLevel="0" collapsed="false">
      <c r="A10" s="17" t="s">
        <v>59</v>
      </c>
      <c r="B10" s="18" t="n">
        <f aca="false">IFERROR(AVERAGEIFS(Clip_Log!$E$5:$E$104,Clip_Log!$B$5:$B$104,"Model A"),"")</f>
        <v>3.6</v>
      </c>
      <c r="C10" s="18" t="n">
        <f aca="false">IFERROR(AVERAGEIFS(Clip_Log!$E$5:$E$104,Clip_Log!$B$5:$B$104,"Model B"),"")</f>
        <v>2.9</v>
      </c>
      <c r="D10" s="19" t="n">
        <f aca="false">IFERROR(B10-C10,"")</f>
        <v>0.7</v>
      </c>
      <c r="F10" s="17" t="s">
        <v>60</v>
      </c>
      <c r="G10" s="20" t="n">
        <f aca="false">COUNTIFS(Clip_Log!$B$5:$B$104,"Model A",Clip_Log!$S$5:$S$104,F10)</f>
        <v>5</v>
      </c>
      <c r="H10" s="20" t="n">
        <f aca="false">COUNTIFS(Clip_Log!$B$5:$B$104,"Model B",Clip_Log!$S$5:$S$104,F10)</f>
        <v>0</v>
      </c>
    </row>
    <row r="11" customFormat="false" ht="15" hidden="false" customHeight="false" outlineLevel="0" collapsed="false">
      <c r="A11" s="17" t="s">
        <v>61</v>
      </c>
      <c r="B11" s="18" t="n">
        <f aca="false">IFERROR(AVERAGEIFS(Clip_Log!$F$5:$F$104,Clip_Log!$B$5:$B$104,"Model A"),"")</f>
        <v>3.5</v>
      </c>
      <c r="C11" s="18" t="n">
        <f aca="false">IFERROR(AVERAGEIFS(Clip_Log!$F$5:$F$104,Clip_Log!$B$5:$B$104,"Model B"),"")</f>
        <v>2.9</v>
      </c>
      <c r="D11" s="19" t="n">
        <f aca="false">IFERROR(B11-C11,"")</f>
        <v>0.6</v>
      </c>
      <c r="F11" s="17" t="s">
        <v>62</v>
      </c>
      <c r="G11" s="20" t="n">
        <f aca="false">COUNTIFS(Clip_Log!$B$5:$B$104,"Model A",Clip_Log!$S$5:$S$104,F11)</f>
        <v>5</v>
      </c>
      <c r="H11" s="20" t="n">
        <f aca="false">COUNTIFS(Clip_Log!$B$5:$B$104,"Model B",Clip_Log!$S$5:$S$104,F11)</f>
        <v>9</v>
      </c>
    </row>
    <row r="12" customFormat="false" ht="15" hidden="false" customHeight="false" outlineLevel="0" collapsed="false">
      <c r="A12" s="17" t="s">
        <v>63</v>
      </c>
      <c r="B12" s="18" t="n">
        <f aca="false">IFERROR(AVERAGEIFS(Clip_Log!$G$5:$G$104,Clip_Log!$B$5:$B$104,"Model A"),"")</f>
        <v>3.9</v>
      </c>
      <c r="C12" s="18" t="n">
        <f aca="false">IFERROR(AVERAGEIFS(Clip_Log!$G$5:$G$104,Clip_Log!$B$5:$B$104,"Model B"),"")</f>
        <v>2.7</v>
      </c>
      <c r="D12" s="19" t="n">
        <f aca="false">IFERROR(B12-C12,"")</f>
        <v>1.2</v>
      </c>
      <c r="F12" s="17" t="s">
        <v>64</v>
      </c>
      <c r="G12" s="20" t="n">
        <f aca="false">COUNTIFS(Clip_Log!$B$5:$B$104,"Model A",Clip_Log!$S$5:$S$104,F12)</f>
        <v>0</v>
      </c>
      <c r="H12" s="20" t="n">
        <f aca="false">COUNTIFS(Clip_Log!$B$5:$B$104,"Model B",Clip_Log!$S$5:$S$104,F12)</f>
        <v>1</v>
      </c>
    </row>
    <row r="13" customFormat="false" ht="15" hidden="false" customHeight="false" outlineLevel="0" collapsed="false">
      <c r="A13" s="17" t="s">
        <v>65</v>
      </c>
      <c r="B13" s="18" t="n">
        <f aca="false">IFERROR(AVERAGEIFS(Clip_Log!$H$5:$H$104,Clip_Log!$B$5:$B$104,"Model A"),"")</f>
        <v>3.4</v>
      </c>
      <c r="C13" s="18" t="n">
        <f aca="false">IFERROR(AVERAGEIFS(Clip_Log!$H$5:$H$104,Clip_Log!$B$5:$B$104,"Model B"),"")</f>
        <v>2.3</v>
      </c>
      <c r="D13" s="19" t="n">
        <f aca="false">IFERROR(B13-C13,"")</f>
        <v>1.1</v>
      </c>
      <c r="F13" s="17" t="s">
        <v>66</v>
      </c>
      <c r="G13" s="21" t="n">
        <f aca="false">IFERROR(G10/SUM(G10:G12),0)</f>
        <v>0.5</v>
      </c>
      <c r="H13" s="21" t="n">
        <f aca="false">IFERROR(H10/SUM(H10:H12),0)</f>
        <v>0</v>
      </c>
    </row>
    <row r="14" customFormat="false" ht="15" hidden="false" customHeight="false" outlineLevel="0" collapsed="false">
      <c r="A14" s="17" t="s">
        <v>67</v>
      </c>
      <c r="B14" s="18" t="n">
        <f aca="false">IFERROR(AVERAGEIFS(Clip_Log!$I$5:$I$104,Clip_Log!$B$5:$B$104,"Model A"),"")</f>
        <v>3</v>
      </c>
      <c r="C14" s="18" t="n">
        <f aca="false">IFERROR(AVERAGEIFS(Clip_Log!$I$5:$I$104,Clip_Log!$B$5:$B$104,"Model B"),"")</f>
        <v>2.42857142857143</v>
      </c>
      <c r="D14" s="19" t="n">
        <f aca="false">IFERROR(B14-C14,"")</f>
        <v>0.571428571428572</v>
      </c>
    </row>
    <row r="15" customFormat="false" ht="15" hidden="false" customHeight="false" outlineLevel="0" collapsed="false">
      <c r="A15" s="17" t="s">
        <v>68</v>
      </c>
      <c r="B15" s="18" t="n">
        <f aca="false">IFERROR(AVERAGEIFS(Clip_Log!$J$5:$J$104,Clip_Log!$B$5:$B$104,"Model A"),"")</f>
        <v>3.7</v>
      </c>
      <c r="C15" s="18" t="n">
        <f aca="false">IFERROR(AVERAGEIFS(Clip_Log!$J$5:$J$104,Clip_Log!$B$5:$B$104,"Model B"),"")</f>
        <v>3.2</v>
      </c>
      <c r="D15" s="19" t="n">
        <f aca="false">IFERROR(B15-C15,"")</f>
        <v>0.5</v>
      </c>
    </row>
    <row r="17" customFormat="false" ht="15" hidden="false" customHeight="false" outlineLevel="0" collapsed="false">
      <c r="A17" s="14" t="s">
        <v>69</v>
      </c>
      <c r="B17" s="15"/>
      <c r="C17" s="15"/>
      <c r="D17" s="15"/>
    </row>
    <row r="18" customFormat="false" ht="30" hidden="false" customHeight="true" outlineLevel="0" collapsed="false">
      <c r="A18" s="16" t="s">
        <v>70</v>
      </c>
      <c r="B18" s="16" t="s">
        <v>71</v>
      </c>
      <c r="C18" s="16"/>
      <c r="D18" s="16" t="s">
        <v>72</v>
      </c>
    </row>
    <row r="19" customFormat="false" ht="30" hidden="false" customHeight="true" outlineLevel="0" collapsed="false">
      <c r="A19" s="17" t="str">
        <f aca="false">INDEX(Failure_Taxonomy!$A$5:$A$16,MATCH(1,Failure_Taxonomy!$G$5:$G$16,0))</f>
        <v>F03</v>
      </c>
      <c r="B19" s="7" t="str">
        <f aca="false">INDEX(Failure_Taxonomy!$B$5:$B$16,MATCH(1,Failure_Taxonomy!$G$5:$G$16,0))</f>
        <v>Vocal phoneme collapse — words blur, esp. consonant clusters</v>
      </c>
      <c r="C19" s="7"/>
      <c r="D19" s="20" t="n">
        <f aca="false">INDEX(Failure_Taxonomy!$E$5:$E$16,MATCH(1,Failure_Taxonomy!$G$5:$G$16,0))</f>
        <v>13</v>
      </c>
    </row>
    <row r="20" customFormat="false" ht="30" hidden="false" customHeight="true" outlineLevel="0" collapsed="false">
      <c r="A20" s="17" t="str">
        <f aca="false">INDEX(Failure_Taxonomy!$A$5:$A$16,MATCH(2,Failure_Taxonomy!$G$5:$G$16,0))</f>
        <v>F02</v>
      </c>
      <c r="B20" s="7" t="str">
        <f aca="false">INDEX(Failure_Taxonomy!$B$5:$B$16,MATCH(2,Failure_Taxonomy!$G$5:$G$16,0))</f>
        <v>Metallic or phasey high end (hats, cymbals, 'underwater' swirl)</v>
      </c>
      <c r="C20" s="7"/>
      <c r="D20" s="20" t="n">
        <f aca="false">INDEX(Failure_Taxonomy!$E$5:$E$16,MATCH(2,Failure_Taxonomy!$G$5:$G$16,0))</f>
        <v>8</v>
      </c>
    </row>
    <row r="21" customFormat="false" ht="30" hidden="false" customHeight="true" outlineLevel="0" collapsed="false">
      <c r="A21" s="17" t="str">
        <f aca="false">INDEX(Failure_Taxonomy!$A$5:$A$16,MATCH(3,Failure_Taxonomy!$G$5:$G$16,0))</f>
        <v>F01</v>
      </c>
      <c r="B21" s="7" t="str">
        <f aca="false">INDEX(Failure_Taxonomy!$B$5:$B$16,MATCH(3,Failure_Taxonomy!$G$5:$G$16,0))</f>
        <v>Transient smearing — drums lose their attack</v>
      </c>
      <c r="C21" s="7"/>
      <c r="D21" s="20" t="n">
        <f aca="false">INDEX(Failure_Taxonomy!$E$5:$E$16,MATCH(3,Failure_Taxonomy!$G$5:$G$16,0))</f>
        <v>5</v>
      </c>
    </row>
  </sheetData>
  <mergeCells count="12">
    <mergeCell ref="A4:B4"/>
    <mergeCell ref="C4:D4"/>
    <mergeCell ref="E4:F4"/>
    <mergeCell ref="G4:H4"/>
    <mergeCell ref="A5:B5"/>
    <mergeCell ref="C5:D5"/>
    <mergeCell ref="E5:F5"/>
    <mergeCell ref="G5:H5"/>
    <mergeCell ref="B18:C18"/>
    <mergeCell ref="B19:C19"/>
    <mergeCell ref="B20:C20"/>
    <mergeCell ref="B21:C21"/>
  </mergeCells>
  <conditionalFormatting sqref="B10:C15">
    <cfRule type="colorScale" priority="2">
      <colorScale>
        <cfvo type="num" val="1"/>
        <cfvo type="num" val="3"/>
        <cfvo type="num" val="5"/>
        <color rgb="FFF8D0CC"/>
        <color rgb="FFFFF7D6"/>
        <color rgb="FFD6F0DD"/>
      </colorScale>
    </cfRule>
  </conditionalFormatting>
  <printOptions headings="false" gridLines="false" gridLinesSet="true" horizontalCentered="true" verticalCentered="false"/>
  <pageMargins left="0.4" right="0.4" top="0.5" bottom="0.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A7F8E"/>
    <pageSetUpPr fitToPage="true"/>
  </sheetPr>
  <dimension ref="A1:E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9"/>
    <col collapsed="false" customWidth="true" hidden="false" outlineLevel="0" max="3" min="3" style="0" width="38"/>
    <col collapsed="false" customWidth="true" hidden="false" outlineLevel="0" max="4" min="4" style="0" width="40"/>
    <col collapsed="false" customWidth="true" hidden="false" outlineLevel="0" max="5" min="5" style="0" width="38"/>
  </cols>
  <sheetData>
    <row r="1" customFormat="false" ht="19.7" hidden="false" customHeight="false" outlineLevel="0" collapsed="false">
      <c r="A1" s="9" t="s">
        <v>73</v>
      </c>
    </row>
    <row r="2" customFormat="false" ht="15" hidden="false" customHeight="false" outlineLevel="0" collapsed="false">
      <c r="A2" s="2" t="s">
        <v>74</v>
      </c>
    </row>
    <row r="3" customFormat="false" ht="15" hidden="false" customHeight="false" outlineLevel="0" collapsed="false">
      <c r="A3" s="22"/>
      <c r="B3" s="23" t="s">
        <v>75</v>
      </c>
    </row>
    <row r="4" customFormat="false" ht="30" hidden="false" customHeight="true" outlineLevel="0" collapsed="false">
      <c r="A4" s="16" t="s">
        <v>54</v>
      </c>
      <c r="B4" s="16" t="s">
        <v>76</v>
      </c>
      <c r="C4" s="16" t="s">
        <v>77</v>
      </c>
      <c r="D4" s="16" t="s">
        <v>78</v>
      </c>
      <c r="E4" s="16" t="s">
        <v>79</v>
      </c>
    </row>
    <row r="5" customFormat="false" ht="45.75" hidden="false" customHeight="true" outlineLevel="0" collapsed="false">
      <c r="A5" s="7" t="s">
        <v>59</v>
      </c>
      <c r="B5" s="24" t="n">
        <v>0.2</v>
      </c>
      <c r="C5" s="7" t="s">
        <v>80</v>
      </c>
      <c r="D5" s="7" t="s">
        <v>81</v>
      </c>
      <c r="E5" s="7" t="s">
        <v>82</v>
      </c>
    </row>
    <row r="6" customFormat="false" ht="45.75" hidden="false" customHeight="true" outlineLevel="0" collapsed="false">
      <c r="A6" s="7" t="s">
        <v>61</v>
      </c>
      <c r="B6" s="24" t="n">
        <v>0.15</v>
      </c>
      <c r="C6" s="7" t="s">
        <v>83</v>
      </c>
      <c r="D6" s="7" t="s">
        <v>84</v>
      </c>
      <c r="E6" s="7" t="s">
        <v>85</v>
      </c>
    </row>
    <row r="7" customFormat="false" ht="45.75" hidden="false" customHeight="true" outlineLevel="0" collapsed="false">
      <c r="A7" s="7" t="s">
        <v>63</v>
      </c>
      <c r="B7" s="24" t="n">
        <v>0.15</v>
      </c>
      <c r="C7" s="7" t="s">
        <v>86</v>
      </c>
      <c r="D7" s="7" t="s">
        <v>87</v>
      </c>
      <c r="E7" s="7" t="s">
        <v>88</v>
      </c>
    </row>
    <row r="8" customFormat="false" ht="45.75" hidden="false" customHeight="true" outlineLevel="0" collapsed="false">
      <c r="A8" s="7" t="s">
        <v>65</v>
      </c>
      <c r="B8" s="24" t="n">
        <v>0.25</v>
      </c>
      <c r="C8" s="7" t="s">
        <v>89</v>
      </c>
      <c r="D8" s="7" t="s">
        <v>90</v>
      </c>
      <c r="E8" s="7" t="s">
        <v>91</v>
      </c>
    </row>
    <row r="9" customFormat="false" ht="45.75" hidden="false" customHeight="true" outlineLevel="0" collapsed="false">
      <c r="A9" s="7" t="s">
        <v>67</v>
      </c>
      <c r="B9" s="24" t="n">
        <v>0.15</v>
      </c>
      <c r="C9" s="7" t="s">
        <v>92</v>
      </c>
      <c r="D9" s="7" t="s">
        <v>93</v>
      </c>
      <c r="E9" s="7" t="s">
        <v>94</v>
      </c>
    </row>
    <row r="10" customFormat="false" ht="45.75" hidden="false" customHeight="true" outlineLevel="0" collapsed="false">
      <c r="A10" s="7" t="s">
        <v>68</v>
      </c>
      <c r="B10" s="24" t="n">
        <v>0.1</v>
      </c>
      <c r="C10" s="7" t="s">
        <v>95</v>
      </c>
      <c r="D10" s="7" t="s">
        <v>96</v>
      </c>
      <c r="E10" s="7" t="s">
        <v>97</v>
      </c>
    </row>
    <row r="11" customFormat="false" ht="15" hidden="false" customHeight="false" outlineLevel="0" collapsed="false">
      <c r="A11" s="25" t="s">
        <v>98</v>
      </c>
      <c r="B11" s="26" t="n">
        <f aca="false">SUM(B5:B10)</f>
        <v>1</v>
      </c>
      <c r="C11" s="27" t="str">
        <f aca="false">IF(ROUND(B11,4)=1,"Weights OK (100%)","Weights must add up to 100%")</f>
        <v>Weights OK (100%)</v>
      </c>
    </row>
    <row r="13" customFormat="false" ht="15" hidden="false" customHeight="false" outlineLevel="0" collapsed="false">
      <c r="A13" s="2" t="s">
        <v>99</v>
      </c>
    </row>
    <row r="14" customFormat="false" ht="15" hidden="false" customHeight="false" outlineLevel="0" collapsed="false">
      <c r="A14" s="25" t="s">
        <v>100</v>
      </c>
      <c r="B14" s="28" t="n">
        <v>3.5</v>
      </c>
    </row>
    <row r="17" customFormat="false" ht="30" hidden="false" customHeight="true" outlineLevel="0" collapsed="false">
      <c r="A17" s="16" t="s">
        <v>70</v>
      </c>
      <c r="B17" s="16" t="s">
        <v>101</v>
      </c>
    </row>
    <row r="18" customFormat="false" ht="15" hidden="false" customHeight="false" outlineLevel="0" collapsed="false">
      <c r="A18" s="17" t="s">
        <v>102</v>
      </c>
      <c r="B18" s="17" t="s">
        <v>103</v>
      </c>
      <c r="C18" s="17"/>
      <c r="D18" s="17"/>
      <c r="E18" s="17"/>
    </row>
    <row r="19" customFormat="false" ht="15" hidden="false" customHeight="false" outlineLevel="0" collapsed="false">
      <c r="A19" s="17" t="s">
        <v>104</v>
      </c>
      <c r="B19" s="17" t="s">
        <v>105</v>
      </c>
      <c r="C19" s="17"/>
      <c r="D19" s="17"/>
      <c r="E19" s="17"/>
    </row>
    <row r="20" customFormat="false" ht="15" hidden="false" customHeight="false" outlineLevel="0" collapsed="false">
      <c r="A20" s="17" t="s">
        <v>106</v>
      </c>
      <c r="B20" s="17" t="s">
        <v>107</v>
      </c>
      <c r="C20" s="17"/>
      <c r="D20" s="17"/>
      <c r="E20" s="17"/>
    </row>
    <row r="21" customFormat="false" ht="15" hidden="false" customHeight="false" outlineLevel="0" collapsed="false">
      <c r="A21" s="17" t="s">
        <v>108</v>
      </c>
      <c r="B21" s="17" t="s">
        <v>109</v>
      </c>
      <c r="C21" s="17"/>
      <c r="D21" s="17"/>
      <c r="E21" s="17"/>
    </row>
    <row r="22" customFormat="false" ht="15" hidden="false" customHeight="false" outlineLevel="0" collapsed="false">
      <c r="A22" s="17" t="s">
        <v>110</v>
      </c>
      <c r="B22" s="17" t="s">
        <v>111</v>
      </c>
      <c r="C22" s="17"/>
      <c r="D22" s="17"/>
      <c r="E22" s="17"/>
    </row>
    <row r="23" customFormat="false" ht="15" hidden="false" customHeight="false" outlineLevel="0" collapsed="false">
      <c r="A23" s="17" t="s">
        <v>112</v>
      </c>
      <c r="B23" s="17" t="s">
        <v>113</v>
      </c>
      <c r="C23" s="17"/>
      <c r="D23" s="17"/>
      <c r="E23" s="17"/>
    </row>
    <row r="24" customFormat="false" ht="15" hidden="false" customHeight="false" outlineLevel="0" collapsed="false">
      <c r="A24" s="17" t="s">
        <v>114</v>
      </c>
      <c r="B24" s="17" t="s">
        <v>115</v>
      </c>
      <c r="C24" s="17"/>
      <c r="D24" s="17"/>
      <c r="E24" s="17"/>
    </row>
    <row r="25" customFormat="false" ht="15" hidden="false" customHeight="false" outlineLevel="0" collapsed="false">
      <c r="A25" s="17" t="s">
        <v>116</v>
      </c>
      <c r="B25" s="17" t="s">
        <v>117</v>
      </c>
      <c r="C25" s="17"/>
      <c r="D25" s="17"/>
      <c r="E25" s="17"/>
    </row>
    <row r="26" customFormat="false" ht="15" hidden="false" customHeight="false" outlineLevel="0" collapsed="false">
      <c r="A26" s="17" t="s">
        <v>118</v>
      </c>
      <c r="B26" s="17" t="s">
        <v>119</v>
      </c>
      <c r="C26" s="17"/>
      <c r="D26" s="17"/>
      <c r="E26" s="17"/>
    </row>
    <row r="27" customFormat="false" ht="15" hidden="false" customHeight="false" outlineLevel="0" collapsed="false">
      <c r="A27" s="17" t="s">
        <v>120</v>
      </c>
      <c r="B27" s="17" t="s">
        <v>121</v>
      </c>
      <c r="C27" s="17"/>
      <c r="D27" s="17"/>
      <c r="E27" s="17"/>
    </row>
    <row r="28" customFormat="false" ht="15" hidden="false" customHeight="false" outlineLevel="0" collapsed="false">
      <c r="A28" s="17" t="s">
        <v>122</v>
      </c>
      <c r="B28" s="17" t="s">
        <v>123</v>
      </c>
      <c r="C28" s="17"/>
      <c r="D28" s="17"/>
      <c r="E28" s="17"/>
    </row>
    <row r="29" customFormat="false" ht="15" hidden="false" customHeight="false" outlineLevel="0" collapsed="false">
      <c r="A29" s="17" t="s">
        <v>124</v>
      </c>
      <c r="B29" s="17" t="s">
        <v>125</v>
      </c>
      <c r="C29" s="17"/>
      <c r="D29" s="17"/>
      <c r="E29" s="17"/>
    </row>
  </sheetData>
  <mergeCells count="12"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</mergeCells>
  <conditionalFormatting sqref="C11">
    <cfRule type="expression" priority="2" aboveAverage="0" equalAverage="0" bottom="0" percent="0" rank="0" text="" dxfId="0">
      <formula>ROUND($B$11,4)&lt;&gt;1</formula>
    </cfRule>
  </conditionalFormatting>
  <printOptions headings="false" gridLines="false" gridLinesSet="true" horizontalCentered="true" verticalCentered="false"/>
  <pageMargins left="0.4" right="0.4" top="0.5" bottom="0.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A7F8E"/>
    <pageSetUpPr fitToPage="true"/>
  </sheetPr>
  <dimension ref="A1:S1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"/>
    <col collapsed="false" customWidth="true" hidden="false" outlineLevel="0" max="2" min="2" style="0" width="9"/>
    <col collapsed="false" customWidth="true" hidden="false" outlineLevel="0" max="3" min="3" style="0" width="34"/>
    <col collapsed="false" customWidth="true" hidden="false" outlineLevel="0" max="4" min="4" style="0" width="7"/>
    <col collapsed="false" customWidth="true" hidden="false" outlineLevel="0" max="5" min="5" style="0" width="9"/>
    <col collapsed="false" customWidth="true" hidden="false" outlineLevel="0" max="6" min="6" style="0" width="10"/>
    <col collapsed="false" customWidth="true" hidden="false" outlineLevel="0" max="8" min="7" style="0" width="9"/>
    <col collapsed="false" customWidth="true" hidden="false" outlineLevel="0" max="9" min="9" style="0" width="10"/>
    <col collapsed="false" customWidth="true" hidden="false" outlineLevel="0" max="10" min="10" style="0" width="9"/>
    <col collapsed="false" customWidth="true" hidden="false" outlineLevel="0" max="11" min="11" style="0" width="7"/>
    <col collapsed="false" customWidth="true" hidden="false" outlineLevel="0" max="14" min="12" style="0" width="6"/>
    <col collapsed="false" customWidth="true" hidden="false" outlineLevel="0" max="15" min="15" style="0" width="9"/>
    <col collapsed="false" customWidth="true" hidden="false" outlineLevel="0" max="16" min="16" style="0" width="36"/>
    <col collapsed="false" customWidth="true" hidden="false" outlineLevel="0" max="17" min="17" style="0" width="9"/>
    <col collapsed="false" customWidth="true" hidden="false" outlineLevel="0" max="18" min="18" style="0" width="8"/>
    <col collapsed="false" customWidth="true" hidden="false" outlineLevel="0" max="19" min="19" style="0" width="9"/>
  </cols>
  <sheetData>
    <row r="1" customFormat="false" ht="19.7" hidden="false" customHeight="false" outlineLevel="0" collapsed="false">
      <c r="A1" s="9" t="s">
        <v>126</v>
      </c>
    </row>
    <row r="2" customFormat="false" ht="15" hidden="false" customHeight="false" outlineLevel="0" collapsed="false">
      <c r="A2" s="10" t="s">
        <v>47</v>
      </c>
    </row>
    <row r="4" customFormat="false" ht="30" hidden="false" customHeight="true" outlineLevel="0" collapsed="false">
      <c r="A4" s="16" t="s">
        <v>127</v>
      </c>
      <c r="B4" s="16" t="s">
        <v>128</v>
      </c>
      <c r="C4" s="16" t="s">
        <v>129</v>
      </c>
      <c r="D4" s="16" t="s">
        <v>130</v>
      </c>
      <c r="E4" s="16" t="s">
        <v>59</v>
      </c>
      <c r="F4" s="16" t="s">
        <v>61</v>
      </c>
      <c r="G4" s="16" t="s">
        <v>63</v>
      </c>
      <c r="H4" s="16" t="s">
        <v>65</v>
      </c>
      <c r="I4" s="16" t="s">
        <v>67</v>
      </c>
      <c r="J4" s="16" t="s">
        <v>68</v>
      </c>
      <c r="K4" s="16" t="s">
        <v>131</v>
      </c>
      <c r="L4" s="16" t="s">
        <v>132</v>
      </c>
      <c r="M4" s="16" t="s">
        <v>133</v>
      </c>
      <c r="N4" s="16" t="s">
        <v>134</v>
      </c>
      <c r="O4" s="16" t="s">
        <v>135</v>
      </c>
      <c r="P4" s="16" t="s">
        <v>136</v>
      </c>
      <c r="Q4" s="16" t="s">
        <v>137</v>
      </c>
      <c r="R4" s="16" t="s">
        <v>138</v>
      </c>
      <c r="S4" s="16" t="s">
        <v>58</v>
      </c>
    </row>
    <row r="5" customFormat="false" ht="30" hidden="false" customHeight="true" outlineLevel="0" collapsed="false">
      <c r="A5" s="29" t="s">
        <v>139</v>
      </c>
      <c r="B5" s="30" t="s">
        <v>55</v>
      </c>
      <c r="C5" s="31" t="s">
        <v>140</v>
      </c>
      <c r="D5" s="30" t="s">
        <v>141</v>
      </c>
      <c r="E5" s="30" t="n">
        <v>4</v>
      </c>
      <c r="F5" s="30" t="n">
        <v>4</v>
      </c>
      <c r="G5" s="30" t="n">
        <v>4</v>
      </c>
      <c r="H5" s="30" t="n">
        <v>3</v>
      </c>
      <c r="I5" s="30" t="n">
        <v>3</v>
      </c>
      <c r="J5" s="30" t="n">
        <v>4</v>
      </c>
      <c r="K5" s="30" t="s">
        <v>142</v>
      </c>
      <c r="L5" s="30" t="s">
        <v>104</v>
      </c>
      <c r="M5" s="30" t="s">
        <v>106</v>
      </c>
      <c r="N5" s="30"/>
      <c r="O5" s="30" t="s">
        <v>143</v>
      </c>
      <c r="P5" s="31" t="s">
        <v>144</v>
      </c>
      <c r="Q5" s="32" t="n">
        <f aca="false">IF(A5="","",IF(K5="Y",0,(E5*Rubric!$B$5+F5*Rubric!$B$6+G5*Rubric!$B$7+H5*Rubric!$B$8+N(I5)*Rubric!$B$9+J5*Rubric!$B$10)/(Rubric!$B$5+Rubric!$B$6+Rubric!$B$7+Rubric!$B$8+IF(I5="",0,Rubric!$B$9)+Rubric!$B$10)))</f>
        <v>3.6</v>
      </c>
      <c r="R5" s="20" t="n">
        <f aca="false">IF(A5="","",IF(K5="Y",0,ROUND((Q5-1)/4*100,0)))</f>
        <v>65</v>
      </c>
      <c r="S5" s="33" t="str">
        <f aca="false">IF(A5="","",IF(K5="Y","Hard fail",IF(Q5&gt;=Rubric!$B$14,"Pass","Fail")))</f>
        <v>Pass</v>
      </c>
    </row>
    <row r="6" customFormat="false" ht="30" hidden="false" customHeight="true" outlineLevel="0" collapsed="false">
      <c r="A6" s="29" t="s">
        <v>145</v>
      </c>
      <c r="B6" s="30" t="s">
        <v>56</v>
      </c>
      <c r="C6" s="31" t="s">
        <v>140</v>
      </c>
      <c r="D6" s="30" t="s">
        <v>141</v>
      </c>
      <c r="E6" s="30" t="n">
        <v>3</v>
      </c>
      <c r="F6" s="30" t="n">
        <v>3</v>
      </c>
      <c r="G6" s="30" t="n">
        <v>2</v>
      </c>
      <c r="H6" s="30" t="n">
        <v>2</v>
      </c>
      <c r="I6" s="30" t="n">
        <v>2</v>
      </c>
      <c r="J6" s="30" t="n">
        <v>3</v>
      </c>
      <c r="K6" s="30" t="s">
        <v>142</v>
      </c>
      <c r="L6" s="30" t="s">
        <v>102</v>
      </c>
      <c r="M6" s="30" t="s">
        <v>106</v>
      </c>
      <c r="N6" s="30"/>
      <c r="O6" s="30" t="s">
        <v>146</v>
      </c>
      <c r="P6" s="31" t="s">
        <v>147</v>
      </c>
      <c r="Q6" s="32" t="n">
        <f aca="false">IF(A6="","",IF(K6="Y",0,(E6*Rubric!$B$5+F6*Rubric!$B$6+G6*Rubric!$B$7+H6*Rubric!$B$8+N(I6)*Rubric!$B$9+J6*Rubric!$B$10)/(Rubric!$B$5+Rubric!$B$6+Rubric!$B$7+Rubric!$B$8+IF(I6="",0,Rubric!$B$9)+Rubric!$B$10)))</f>
        <v>2.45</v>
      </c>
      <c r="R6" s="20" t="n">
        <f aca="false">IF(A6="","",IF(K6="Y",0,ROUND((Q6-1)/4*100,0)))</f>
        <v>36</v>
      </c>
      <c r="S6" s="33" t="str">
        <f aca="false">IF(A6="","",IF(K6="Y","Hard fail",IF(Q6&gt;=Rubric!$B$14,"Pass","Fail")))</f>
        <v>Fail</v>
      </c>
    </row>
    <row r="7" customFormat="false" ht="30" hidden="false" customHeight="true" outlineLevel="0" collapsed="false">
      <c r="A7" s="29" t="s">
        <v>148</v>
      </c>
      <c r="B7" s="30" t="s">
        <v>55</v>
      </c>
      <c r="C7" s="31" t="s">
        <v>149</v>
      </c>
      <c r="D7" s="30" t="s">
        <v>142</v>
      </c>
      <c r="E7" s="30" t="n">
        <v>4</v>
      </c>
      <c r="F7" s="30" t="n">
        <v>4</v>
      </c>
      <c r="G7" s="30" t="n">
        <v>4</v>
      </c>
      <c r="H7" s="30" t="n">
        <v>4</v>
      </c>
      <c r="I7" s="30"/>
      <c r="J7" s="30" t="n">
        <v>3</v>
      </c>
      <c r="K7" s="30" t="s">
        <v>142</v>
      </c>
      <c r="L7" s="30"/>
      <c r="M7" s="30"/>
      <c r="N7" s="30"/>
      <c r="O7" s="30"/>
      <c r="P7" s="31" t="s">
        <v>150</v>
      </c>
      <c r="Q7" s="32" t="n">
        <f aca="false">IF(A7="","",IF(K7="Y",0,(E7*Rubric!$B$5+F7*Rubric!$B$6+G7*Rubric!$B$7+H7*Rubric!$B$8+N(I7)*Rubric!$B$9+J7*Rubric!$B$10)/(Rubric!$B$5+Rubric!$B$6+Rubric!$B$7+Rubric!$B$8+IF(I7="",0,Rubric!$B$9)+Rubric!$B$10)))</f>
        <v>3.88235294117647</v>
      </c>
      <c r="R7" s="20" t="n">
        <f aca="false">IF(A7="","",IF(K7="Y",0,ROUND((Q7-1)/4*100,0)))</f>
        <v>72</v>
      </c>
      <c r="S7" s="33" t="str">
        <f aca="false">IF(A7="","",IF(K7="Y","Hard fail",IF(Q7&gt;=Rubric!$B$14,"Pass","Fail")))</f>
        <v>Pass</v>
      </c>
    </row>
    <row r="8" customFormat="false" ht="30" hidden="false" customHeight="true" outlineLevel="0" collapsed="false">
      <c r="A8" s="29" t="s">
        <v>151</v>
      </c>
      <c r="B8" s="30" t="s">
        <v>56</v>
      </c>
      <c r="C8" s="31" t="s">
        <v>149</v>
      </c>
      <c r="D8" s="30" t="s">
        <v>142</v>
      </c>
      <c r="E8" s="30" t="n">
        <v>2</v>
      </c>
      <c r="F8" s="30" t="n">
        <v>3</v>
      </c>
      <c r="G8" s="30" t="n">
        <v>2</v>
      </c>
      <c r="H8" s="30" t="n">
        <v>2</v>
      </c>
      <c r="I8" s="30"/>
      <c r="J8" s="30" t="n">
        <v>3</v>
      </c>
      <c r="K8" s="30" t="s">
        <v>142</v>
      </c>
      <c r="L8" s="30" t="s">
        <v>102</v>
      </c>
      <c r="M8" s="30" t="s">
        <v>120</v>
      </c>
      <c r="N8" s="30"/>
      <c r="O8" s="30" t="s">
        <v>152</v>
      </c>
      <c r="P8" s="31" t="s">
        <v>153</v>
      </c>
      <c r="Q8" s="32" t="n">
        <f aca="false">IF(A8="","",IF(K8="Y",0,(E8*Rubric!$B$5+F8*Rubric!$B$6+G8*Rubric!$B$7+H8*Rubric!$B$8+N(I8)*Rubric!$B$9+J8*Rubric!$B$10)/(Rubric!$B$5+Rubric!$B$6+Rubric!$B$7+Rubric!$B$8+IF(I8="",0,Rubric!$B$9)+Rubric!$B$10)))</f>
        <v>2.29411764705882</v>
      </c>
      <c r="R8" s="20" t="n">
        <f aca="false">IF(A8="","",IF(K8="Y",0,ROUND((Q8-1)/4*100,0)))</f>
        <v>32</v>
      </c>
      <c r="S8" s="33" t="str">
        <f aca="false">IF(A8="","",IF(K8="Y","Hard fail",IF(Q8&gt;=Rubric!$B$14,"Pass","Fail")))</f>
        <v>Fail</v>
      </c>
    </row>
    <row r="9" customFormat="false" ht="30" hidden="false" customHeight="true" outlineLevel="0" collapsed="false">
      <c r="A9" s="29" t="s">
        <v>154</v>
      </c>
      <c r="B9" s="30" t="s">
        <v>55</v>
      </c>
      <c r="C9" s="31" t="s">
        <v>155</v>
      </c>
      <c r="D9" s="30" t="s">
        <v>141</v>
      </c>
      <c r="E9" s="30" t="n">
        <v>3</v>
      </c>
      <c r="F9" s="30" t="n">
        <v>4</v>
      </c>
      <c r="G9" s="30" t="n">
        <v>4</v>
      </c>
      <c r="H9" s="30" t="n">
        <v>4</v>
      </c>
      <c r="I9" s="30" t="n">
        <v>3</v>
      </c>
      <c r="J9" s="30" t="n">
        <v>4</v>
      </c>
      <c r="K9" s="30" t="s">
        <v>142</v>
      </c>
      <c r="L9" s="30" t="s">
        <v>106</v>
      </c>
      <c r="M9" s="30"/>
      <c r="N9" s="30"/>
      <c r="O9" s="30" t="s">
        <v>156</v>
      </c>
      <c r="P9" s="31" t="s">
        <v>157</v>
      </c>
      <c r="Q9" s="32" t="n">
        <f aca="false">IF(A9="","",IF(K9="Y",0,(E9*Rubric!$B$5+F9*Rubric!$B$6+G9*Rubric!$B$7+H9*Rubric!$B$8+N(I9)*Rubric!$B$9+J9*Rubric!$B$10)/(Rubric!$B$5+Rubric!$B$6+Rubric!$B$7+Rubric!$B$8+IF(I9="",0,Rubric!$B$9)+Rubric!$B$10)))</f>
        <v>3.65</v>
      </c>
      <c r="R9" s="20" t="n">
        <f aca="false">IF(A9="","",IF(K9="Y",0,ROUND((Q9-1)/4*100,0)))</f>
        <v>66</v>
      </c>
      <c r="S9" s="33" t="str">
        <f aca="false">IF(A9="","",IF(K9="Y","Hard fail",IF(Q9&gt;=Rubric!$B$14,"Pass","Fail")))</f>
        <v>Pass</v>
      </c>
    </row>
    <row r="10" customFormat="false" ht="30" hidden="false" customHeight="true" outlineLevel="0" collapsed="false">
      <c r="A10" s="29" t="s">
        <v>158</v>
      </c>
      <c r="B10" s="30" t="s">
        <v>56</v>
      </c>
      <c r="C10" s="31" t="s">
        <v>155</v>
      </c>
      <c r="D10" s="30" t="s">
        <v>141</v>
      </c>
      <c r="E10" s="30" t="n">
        <v>3</v>
      </c>
      <c r="F10" s="30" t="n">
        <v>3</v>
      </c>
      <c r="G10" s="30" t="n">
        <v>3</v>
      </c>
      <c r="H10" s="30" t="n">
        <v>3</v>
      </c>
      <c r="I10" s="30" t="n">
        <v>2</v>
      </c>
      <c r="J10" s="30" t="n">
        <v>3</v>
      </c>
      <c r="K10" s="30" t="s">
        <v>142</v>
      </c>
      <c r="L10" s="30" t="s">
        <v>104</v>
      </c>
      <c r="M10" s="30" t="s">
        <v>106</v>
      </c>
      <c r="N10" s="30"/>
      <c r="O10" s="30" t="s">
        <v>143</v>
      </c>
      <c r="P10" s="31" t="s">
        <v>144</v>
      </c>
      <c r="Q10" s="32" t="n">
        <f aca="false">IF(A10="","",IF(K10="Y",0,(E10*Rubric!$B$5+F10*Rubric!$B$6+G10*Rubric!$B$7+H10*Rubric!$B$8+N(I10)*Rubric!$B$9+J10*Rubric!$B$10)/(Rubric!$B$5+Rubric!$B$6+Rubric!$B$7+Rubric!$B$8+IF(I10="",0,Rubric!$B$9)+Rubric!$B$10)))</f>
        <v>2.85</v>
      </c>
      <c r="R10" s="20" t="n">
        <f aca="false">IF(A10="","",IF(K10="Y",0,ROUND((Q10-1)/4*100,0)))</f>
        <v>46</v>
      </c>
      <c r="S10" s="33" t="str">
        <f aca="false">IF(A10="","",IF(K10="Y","Hard fail",IF(Q10&gt;=Rubric!$B$14,"Pass","Fail")))</f>
        <v>Fail</v>
      </c>
    </row>
    <row r="11" customFormat="false" ht="30" hidden="false" customHeight="true" outlineLevel="0" collapsed="false">
      <c r="A11" s="29" t="s">
        <v>159</v>
      </c>
      <c r="B11" s="30" t="s">
        <v>55</v>
      </c>
      <c r="C11" s="31" t="s">
        <v>160</v>
      </c>
      <c r="D11" s="30" t="s">
        <v>141</v>
      </c>
      <c r="E11" s="30" t="n">
        <v>3</v>
      </c>
      <c r="F11" s="30" t="n">
        <v>3</v>
      </c>
      <c r="G11" s="30" t="n">
        <v>4</v>
      </c>
      <c r="H11" s="30" t="n">
        <v>3</v>
      </c>
      <c r="I11" s="30" t="n">
        <v>4</v>
      </c>
      <c r="J11" s="30" t="n">
        <v>4</v>
      </c>
      <c r="K11" s="30" t="s">
        <v>142</v>
      </c>
      <c r="L11" s="30" t="s">
        <v>102</v>
      </c>
      <c r="M11" s="30"/>
      <c r="N11" s="30"/>
      <c r="O11" s="30" t="s">
        <v>161</v>
      </c>
      <c r="P11" s="31" t="s">
        <v>162</v>
      </c>
      <c r="Q11" s="32" t="n">
        <f aca="false">IF(A11="","",IF(K11="Y",0,(E11*Rubric!$B$5+F11*Rubric!$B$6+G11*Rubric!$B$7+H11*Rubric!$B$8+N(I11)*Rubric!$B$9+J11*Rubric!$B$10)/(Rubric!$B$5+Rubric!$B$6+Rubric!$B$7+Rubric!$B$8+IF(I11="",0,Rubric!$B$9)+Rubric!$B$10)))</f>
        <v>3.4</v>
      </c>
      <c r="R11" s="20" t="n">
        <f aca="false">IF(A11="","",IF(K11="Y",0,ROUND((Q11-1)/4*100,0)))</f>
        <v>60</v>
      </c>
      <c r="S11" s="33" t="str">
        <f aca="false">IF(A11="","",IF(K11="Y","Hard fail",IF(Q11&gt;=Rubric!$B$14,"Pass","Fail")))</f>
        <v>Fail</v>
      </c>
    </row>
    <row r="12" customFormat="false" ht="30" hidden="false" customHeight="true" outlineLevel="0" collapsed="false">
      <c r="A12" s="29" t="s">
        <v>163</v>
      </c>
      <c r="B12" s="30" t="s">
        <v>56</v>
      </c>
      <c r="C12" s="31" t="s">
        <v>160</v>
      </c>
      <c r="D12" s="30" t="s">
        <v>141</v>
      </c>
      <c r="E12" s="30" t="n">
        <v>2</v>
      </c>
      <c r="F12" s="30" t="n">
        <v>2</v>
      </c>
      <c r="G12" s="30" t="n">
        <v>4</v>
      </c>
      <c r="H12" s="30" t="n">
        <v>2</v>
      </c>
      <c r="I12" s="30" t="n">
        <v>3</v>
      </c>
      <c r="J12" s="30" t="n">
        <v>3</v>
      </c>
      <c r="K12" s="30" t="s">
        <v>142</v>
      </c>
      <c r="L12" s="30" t="s">
        <v>102</v>
      </c>
      <c r="M12" s="30" t="s">
        <v>106</v>
      </c>
      <c r="N12" s="30" t="s">
        <v>110</v>
      </c>
      <c r="O12" s="30" t="s">
        <v>161</v>
      </c>
      <c r="P12" s="31" t="s">
        <v>164</v>
      </c>
      <c r="Q12" s="32" t="n">
        <f aca="false">IF(A12="","",IF(K12="Y",0,(E12*Rubric!$B$5+F12*Rubric!$B$6+G12*Rubric!$B$7+H12*Rubric!$B$8+N(I12)*Rubric!$B$9+J12*Rubric!$B$10)/(Rubric!$B$5+Rubric!$B$6+Rubric!$B$7+Rubric!$B$8+IF(I12="",0,Rubric!$B$9)+Rubric!$B$10)))</f>
        <v>2.55</v>
      </c>
      <c r="R12" s="20" t="n">
        <f aca="false">IF(A12="","",IF(K12="Y",0,ROUND((Q12-1)/4*100,0)))</f>
        <v>39</v>
      </c>
      <c r="S12" s="33" t="str">
        <f aca="false">IF(A12="","",IF(K12="Y","Hard fail",IF(Q12&gt;=Rubric!$B$14,"Pass","Fail")))</f>
        <v>Fail</v>
      </c>
    </row>
    <row r="13" customFormat="false" ht="30" hidden="false" customHeight="true" outlineLevel="0" collapsed="false">
      <c r="A13" s="29" t="s">
        <v>165</v>
      </c>
      <c r="B13" s="30" t="s">
        <v>55</v>
      </c>
      <c r="C13" s="31" t="s">
        <v>166</v>
      </c>
      <c r="D13" s="30" t="s">
        <v>142</v>
      </c>
      <c r="E13" s="30" t="n">
        <v>3</v>
      </c>
      <c r="F13" s="30" t="n">
        <v>3</v>
      </c>
      <c r="G13" s="30" t="n">
        <v>3</v>
      </c>
      <c r="H13" s="30" t="n">
        <v>4</v>
      </c>
      <c r="I13" s="30"/>
      <c r="J13" s="30" t="n">
        <v>4</v>
      </c>
      <c r="K13" s="30" t="s">
        <v>142</v>
      </c>
      <c r="L13" s="30"/>
      <c r="M13" s="30"/>
      <c r="N13" s="30"/>
      <c r="O13" s="30"/>
      <c r="P13" s="31" t="s">
        <v>150</v>
      </c>
      <c r="Q13" s="32" t="n">
        <f aca="false">IF(A13="","",IF(K13="Y",0,(E13*Rubric!$B$5+F13*Rubric!$B$6+G13*Rubric!$B$7+H13*Rubric!$B$8+N(I13)*Rubric!$B$9+J13*Rubric!$B$10)/(Rubric!$B$5+Rubric!$B$6+Rubric!$B$7+Rubric!$B$8+IF(I13="",0,Rubric!$B$9)+Rubric!$B$10)))</f>
        <v>3.41176470588235</v>
      </c>
      <c r="R13" s="20" t="n">
        <f aca="false">IF(A13="","",IF(K13="Y",0,ROUND((Q13-1)/4*100,0)))</f>
        <v>60</v>
      </c>
      <c r="S13" s="33" t="str">
        <f aca="false">IF(A13="","",IF(K13="Y","Hard fail",IF(Q13&gt;=Rubric!$B$14,"Pass","Fail")))</f>
        <v>Fail</v>
      </c>
    </row>
    <row r="14" customFormat="false" ht="30" hidden="false" customHeight="true" outlineLevel="0" collapsed="false">
      <c r="A14" s="29" t="s">
        <v>167</v>
      </c>
      <c r="B14" s="30" t="s">
        <v>56</v>
      </c>
      <c r="C14" s="31" t="s">
        <v>166</v>
      </c>
      <c r="D14" s="30" t="s">
        <v>142</v>
      </c>
      <c r="E14" s="30" t="n">
        <v>2</v>
      </c>
      <c r="F14" s="30" t="n">
        <v>3</v>
      </c>
      <c r="G14" s="30" t="n">
        <v>2</v>
      </c>
      <c r="H14" s="30" t="n">
        <v>2</v>
      </c>
      <c r="I14" s="30"/>
      <c r="J14" s="30" t="n">
        <v>4</v>
      </c>
      <c r="K14" s="30" t="s">
        <v>142</v>
      </c>
      <c r="L14" s="30" t="s">
        <v>104</v>
      </c>
      <c r="M14" s="30" t="s">
        <v>118</v>
      </c>
      <c r="N14" s="30"/>
      <c r="O14" s="30" t="s">
        <v>156</v>
      </c>
      <c r="P14" s="31" t="s">
        <v>168</v>
      </c>
      <c r="Q14" s="32" t="n">
        <f aca="false">IF(A14="","",IF(K14="Y",0,(E14*Rubric!$B$5+F14*Rubric!$B$6+G14*Rubric!$B$7+H14*Rubric!$B$8+N(I14)*Rubric!$B$9+J14*Rubric!$B$10)/(Rubric!$B$5+Rubric!$B$6+Rubric!$B$7+Rubric!$B$8+IF(I14="",0,Rubric!$B$9)+Rubric!$B$10)))</f>
        <v>2.41176470588235</v>
      </c>
      <c r="R14" s="20" t="n">
        <f aca="false">IF(A14="","",IF(K14="Y",0,ROUND((Q14-1)/4*100,0)))</f>
        <v>35</v>
      </c>
      <c r="S14" s="33" t="str">
        <f aca="false">IF(A14="","",IF(K14="Y","Hard fail",IF(Q14&gt;=Rubric!$B$14,"Pass","Fail")))</f>
        <v>Fail</v>
      </c>
    </row>
    <row r="15" customFormat="false" ht="30" hidden="false" customHeight="true" outlineLevel="0" collapsed="false">
      <c r="A15" s="29" t="s">
        <v>169</v>
      </c>
      <c r="B15" s="30" t="s">
        <v>55</v>
      </c>
      <c r="C15" s="31" t="s">
        <v>170</v>
      </c>
      <c r="D15" s="30" t="s">
        <v>141</v>
      </c>
      <c r="E15" s="30" t="n">
        <v>4</v>
      </c>
      <c r="F15" s="30" t="n">
        <v>4</v>
      </c>
      <c r="G15" s="30" t="n">
        <v>4</v>
      </c>
      <c r="H15" s="30" t="n">
        <v>3</v>
      </c>
      <c r="I15" s="30" t="n">
        <v>3</v>
      </c>
      <c r="J15" s="30" t="n">
        <v>4</v>
      </c>
      <c r="K15" s="30" t="s">
        <v>142</v>
      </c>
      <c r="L15" s="30" t="s">
        <v>104</v>
      </c>
      <c r="M15" s="30" t="s">
        <v>106</v>
      </c>
      <c r="N15" s="30"/>
      <c r="O15" s="30" t="s">
        <v>171</v>
      </c>
      <c r="P15" s="31" t="s">
        <v>172</v>
      </c>
      <c r="Q15" s="32" t="n">
        <f aca="false">IF(A15="","",IF(K15="Y",0,(E15*Rubric!$B$5+F15*Rubric!$B$6+G15*Rubric!$B$7+H15*Rubric!$B$8+N(I15)*Rubric!$B$9+J15*Rubric!$B$10)/(Rubric!$B$5+Rubric!$B$6+Rubric!$B$7+Rubric!$B$8+IF(I15="",0,Rubric!$B$9)+Rubric!$B$10)))</f>
        <v>3.6</v>
      </c>
      <c r="R15" s="20" t="n">
        <f aca="false">IF(A15="","",IF(K15="Y",0,ROUND((Q15-1)/4*100,0)))</f>
        <v>65</v>
      </c>
      <c r="S15" s="33" t="str">
        <f aca="false">IF(A15="","",IF(K15="Y","Hard fail",IF(Q15&gt;=Rubric!$B$14,"Pass","Fail")))</f>
        <v>Pass</v>
      </c>
    </row>
    <row r="16" customFormat="false" ht="30" hidden="false" customHeight="true" outlineLevel="0" collapsed="false">
      <c r="A16" s="29" t="s">
        <v>173</v>
      </c>
      <c r="B16" s="30" t="s">
        <v>56</v>
      </c>
      <c r="C16" s="31" t="s">
        <v>170</v>
      </c>
      <c r="D16" s="30" t="s">
        <v>141</v>
      </c>
      <c r="E16" s="30" t="n">
        <v>3</v>
      </c>
      <c r="F16" s="30" t="n">
        <v>4</v>
      </c>
      <c r="G16" s="30" t="n">
        <v>4</v>
      </c>
      <c r="H16" s="30" t="n">
        <v>2</v>
      </c>
      <c r="I16" s="30" t="n">
        <v>3</v>
      </c>
      <c r="J16" s="30" t="n">
        <v>3</v>
      </c>
      <c r="K16" s="30" t="s">
        <v>142</v>
      </c>
      <c r="L16" s="30" t="s">
        <v>102</v>
      </c>
      <c r="M16" s="30" t="s">
        <v>106</v>
      </c>
      <c r="N16" s="30"/>
      <c r="O16" s="30" t="s">
        <v>146</v>
      </c>
      <c r="P16" s="31" t="s">
        <v>147</v>
      </c>
      <c r="Q16" s="32" t="n">
        <f aca="false">IF(A16="","",IF(K16="Y",0,(E16*Rubric!$B$5+F16*Rubric!$B$6+G16*Rubric!$B$7+H16*Rubric!$B$8+N(I16)*Rubric!$B$9+J16*Rubric!$B$10)/(Rubric!$B$5+Rubric!$B$6+Rubric!$B$7+Rubric!$B$8+IF(I16="",0,Rubric!$B$9)+Rubric!$B$10)))</f>
        <v>3.05</v>
      </c>
      <c r="R16" s="20" t="n">
        <f aca="false">IF(A16="","",IF(K16="Y",0,ROUND((Q16-1)/4*100,0)))</f>
        <v>51</v>
      </c>
      <c r="S16" s="33" t="str">
        <f aca="false">IF(A16="","",IF(K16="Y","Hard fail",IF(Q16&gt;=Rubric!$B$14,"Pass","Fail")))</f>
        <v>Fail</v>
      </c>
    </row>
    <row r="17" customFormat="false" ht="30" hidden="false" customHeight="true" outlineLevel="0" collapsed="false">
      <c r="A17" s="29" t="s">
        <v>174</v>
      </c>
      <c r="B17" s="30" t="s">
        <v>55</v>
      </c>
      <c r="C17" s="31" t="s">
        <v>175</v>
      </c>
      <c r="D17" s="30" t="s">
        <v>141</v>
      </c>
      <c r="E17" s="30" t="n">
        <v>4</v>
      </c>
      <c r="F17" s="30" t="n">
        <v>3</v>
      </c>
      <c r="G17" s="30" t="n">
        <v>4</v>
      </c>
      <c r="H17" s="30" t="n">
        <v>3</v>
      </c>
      <c r="I17" s="30" t="n">
        <v>3</v>
      </c>
      <c r="J17" s="30" t="n">
        <v>4</v>
      </c>
      <c r="K17" s="30" t="s">
        <v>142</v>
      </c>
      <c r="L17" s="30" t="s">
        <v>104</v>
      </c>
      <c r="M17" s="30" t="s">
        <v>106</v>
      </c>
      <c r="N17" s="30"/>
      <c r="O17" s="30" t="s">
        <v>176</v>
      </c>
      <c r="P17" s="31" t="s">
        <v>177</v>
      </c>
      <c r="Q17" s="32" t="n">
        <f aca="false">IF(A17="","",IF(K17="Y",0,(E17*Rubric!$B$5+F17*Rubric!$B$6+G17*Rubric!$B$7+H17*Rubric!$B$8+N(I17)*Rubric!$B$9+J17*Rubric!$B$10)/(Rubric!$B$5+Rubric!$B$6+Rubric!$B$7+Rubric!$B$8+IF(I17="",0,Rubric!$B$9)+Rubric!$B$10)))</f>
        <v>3.45</v>
      </c>
      <c r="R17" s="20" t="n">
        <f aca="false">IF(A17="","",IF(K17="Y",0,ROUND((Q17-1)/4*100,0)))</f>
        <v>61</v>
      </c>
      <c r="S17" s="33" t="str">
        <f aca="false">IF(A17="","",IF(K17="Y","Hard fail",IF(Q17&gt;=Rubric!$B$14,"Pass","Fail")))</f>
        <v>Fail</v>
      </c>
    </row>
    <row r="18" customFormat="false" ht="30" hidden="false" customHeight="true" outlineLevel="0" collapsed="false">
      <c r="A18" s="29" t="s">
        <v>178</v>
      </c>
      <c r="B18" s="30" t="s">
        <v>56</v>
      </c>
      <c r="C18" s="31" t="s">
        <v>175</v>
      </c>
      <c r="D18" s="30" t="s">
        <v>141</v>
      </c>
      <c r="E18" s="30" t="n">
        <v>3</v>
      </c>
      <c r="F18" s="30" t="n">
        <v>2</v>
      </c>
      <c r="G18" s="30" t="n">
        <v>2</v>
      </c>
      <c r="H18" s="30" t="n">
        <v>3</v>
      </c>
      <c r="I18" s="30" t="n">
        <v>2</v>
      </c>
      <c r="J18" s="30" t="n">
        <v>3</v>
      </c>
      <c r="K18" s="30" t="s">
        <v>141</v>
      </c>
      <c r="L18" s="30" t="s">
        <v>114</v>
      </c>
      <c r="M18" s="30" t="s">
        <v>122</v>
      </c>
      <c r="N18" s="30" t="s">
        <v>106</v>
      </c>
      <c r="O18" s="30" t="s">
        <v>156</v>
      </c>
      <c r="P18" s="31" t="s">
        <v>179</v>
      </c>
      <c r="Q18" s="32" t="n">
        <f aca="false">IF(A18="","",IF(K18="Y",0,(E18*Rubric!$B$5+F18*Rubric!$B$6+G18*Rubric!$B$7+H18*Rubric!$B$8+N(I18)*Rubric!$B$9+J18*Rubric!$B$10)/(Rubric!$B$5+Rubric!$B$6+Rubric!$B$7+Rubric!$B$8+IF(I18="",0,Rubric!$B$9)+Rubric!$B$10)))</f>
        <v>0</v>
      </c>
      <c r="R18" s="20" t="n">
        <f aca="false">IF(A18="","",IF(K18="Y",0,ROUND((Q18-1)/4*100,0)))</f>
        <v>0</v>
      </c>
      <c r="S18" s="33" t="str">
        <f aca="false">IF(A18="","",IF(K18="Y","Hard fail",IF(Q18&gt;=Rubric!$B$14,"Pass","Fail")))</f>
        <v>Hard fail</v>
      </c>
    </row>
    <row r="19" customFormat="false" ht="30" hidden="false" customHeight="true" outlineLevel="0" collapsed="false">
      <c r="A19" s="29" t="s">
        <v>180</v>
      </c>
      <c r="B19" s="30" t="s">
        <v>55</v>
      </c>
      <c r="C19" s="31" t="s">
        <v>181</v>
      </c>
      <c r="D19" s="30" t="s">
        <v>142</v>
      </c>
      <c r="E19" s="30" t="n">
        <v>3</v>
      </c>
      <c r="F19" s="30" t="n">
        <v>4</v>
      </c>
      <c r="G19" s="30" t="n">
        <v>4</v>
      </c>
      <c r="H19" s="30" t="n">
        <v>3</v>
      </c>
      <c r="I19" s="30"/>
      <c r="J19" s="30" t="n">
        <v>4</v>
      </c>
      <c r="K19" s="30" t="s">
        <v>142</v>
      </c>
      <c r="L19" s="30" t="s">
        <v>104</v>
      </c>
      <c r="M19" s="30"/>
      <c r="N19" s="30"/>
      <c r="O19" s="30" t="s">
        <v>176</v>
      </c>
      <c r="P19" s="31" t="s">
        <v>182</v>
      </c>
      <c r="Q19" s="32" t="n">
        <f aca="false">IF(A19="","",IF(K19="Y",0,(E19*Rubric!$B$5+F19*Rubric!$B$6+G19*Rubric!$B$7+H19*Rubric!$B$8+N(I19)*Rubric!$B$9+J19*Rubric!$B$10)/(Rubric!$B$5+Rubric!$B$6+Rubric!$B$7+Rubric!$B$8+IF(I19="",0,Rubric!$B$9)+Rubric!$B$10)))</f>
        <v>3.47058823529412</v>
      </c>
      <c r="R19" s="20" t="n">
        <f aca="false">IF(A19="","",IF(K19="Y",0,ROUND((Q19-1)/4*100,0)))</f>
        <v>62</v>
      </c>
      <c r="S19" s="33" t="str">
        <f aca="false">IF(A19="","",IF(K19="Y","Hard fail",IF(Q19&gt;=Rubric!$B$14,"Pass","Fail")))</f>
        <v>Fail</v>
      </c>
    </row>
    <row r="20" customFormat="false" ht="30" hidden="false" customHeight="true" outlineLevel="0" collapsed="false">
      <c r="A20" s="29" t="s">
        <v>183</v>
      </c>
      <c r="B20" s="30" t="s">
        <v>56</v>
      </c>
      <c r="C20" s="31" t="s">
        <v>181</v>
      </c>
      <c r="D20" s="30" t="s">
        <v>142</v>
      </c>
      <c r="E20" s="30" t="n">
        <v>4</v>
      </c>
      <c r="F20" s="30" t="n">
        <v>4</v>
      </c>
      <c r="G20" s="30" t="n">
        <v>3</v>
      </c>
      <c r="H20" s="30" t="n">
        <v>2</v>
      </c>
      <c r="I20" s="30"/>
      <c r="J20" s="30" t="n">
        <v>4</v>
      </c>
      <c r="K20" s="30" t="s">
        <v>142</v>
      </c>
      <c r="L20" s="30" t="s">
        <v>122</v>
      </c>
      <c r="M20" s="30"/>
      <c r="N20" s="30"/>
      <c r="O20" s="30" t="s">
        <v>184</v>
      </c>
      <c r="P20" s="31" t="s">
        <v>185</v>
      </c>
      <c r="Q20" s="32" t="n">
        <f aca="false">IF(A20="","",IF(K20="Y",0,(E20*Rubric!$B$5+F20*Rubric!$B$6+G20*Rubric!$B$7+H20*Rubric!$B$8+N(I20)*Rubric!$B$9+J20*Rubric!$B$10)/(Rubric!$B$5+Rubric!$B$6+Rubric!$B$7+Rubric!$B$8+IF(I20="",0,Rubric!$B$9)+Rubric!$B$10)))</f>
        <v>3.23529411764706</v>
      </c>
      <c r="R20" s="20" t="n">
        <f aca="false">IF(A20="","",IF(K20="Y",0,ROUND((Q20-1)/4*100,0)))</f>
        <v>56</v>
      </c>
      <c r="S20" s="33" t="str">
        <f aca="false">IF(A20="","",IF(K20="Y","Hard fail",IF(Q20&gt;=Rubric!$B$14,"Pass","Fail")))</f>
        <v>Fail</v>
      </c>
    </row>
    <row r="21" customFormat="false" ht="30" hidden="false" customHeight="true" outlineLevel="0" collapsed="false">
      <c r="A21" s="29" t="s">
        <v>186</v>
      </c>
      <c r="B21" s="30" t="s">
        <v>55</v>
      </c>
      <c r="C21" s="31" t="s">
        <v>187</v>
      </c>
      <c r="D21" s="30" t="s">
        <v>141</v>
      </c>
      <c r="E21" s="30" t="n">
        <v>4</v>
      </c>
      <c r="F21" s="30" t="n">
        <v>3</v>
      </c>
      <c r="G21" s="30" t="n">
        <v>4</v>
      </c>
      <c r="H21" s="30" t="n">
        <v>3</v>
      </c>
      <c r="I21" s="30" t="n">
        <v>2</v>
      </c>
      <c r="J21" s="30" t="n">
        <v>3</v>
      </c>
      <c r="K21" s="30" t="s">
        <v>142</v>
      </c>
      <c r="L21" s="30" t="s">
        <v>122</v>
      </c>
      <c r="M21" s="30" t="s">
        <v>106</v>
      </c>
      <c r="N21" s="30"/>
      <c r="O21" s="30" t="s">
        <v>188</v>
      </c>
      <c r="P21" s="31" t="s">
        <v>189</v>
      </c>
      <c r="Q21" s="32" t="n">
        <f aca="false">IF(A21="","",IF(K21="Y",0,(E21*Rubric!$B$5+F21*Rubric!$B$6+G21*Rubric!$B$7+H21*Rubric!$B$8+N(I21)*Rubric!$B$9+J21*Rubric!$B$10)/(Rubric!$B$5+Rubric!$B$6+Rubric!$B$7+Rubric!$B$8+IF(I21="",0,Rubric!$B$9)+Rubric!$B$10)))</f>
        <v>3.2</v>
      </c>
      <c r="R21" s="20" t="n">
        <f aca="false">IF(A21="","",IF(K21="Y",0,ROUND((Q21-1)/4*100,0)))</f>
        <v>55</v>
      </c>
      <c r="S21" s="33" t="str">
        <f aca="false">IF(A21="","",IF(K21="Y","Hard fail",IF(Q21&gt;=Rubric!$B$14,"Pass","Fail")))</f>
        <v>Fail</v>
      </c>
    </row>
    <row r="22" customFormat="false" ht="30" hidden="false" customHeight="true" outlineLevel="0" collapsed="false">
      <c r="A22" s="29" t="s">
        <v>190</v>
      </c>
      <c r="B22" s="30" t="s">
        <v>56</v>
      </c>
      <c r="C22" s="31" t="s">
        <v>187</v>
      </c>
      <c r="D22" s="30" t="s">
        <v>141</v>
      </c>
      <c r="E22" s="30" t="n">
        <v>3</v>
      </c>
      <c r="F22" s="30" t="n">
        <v>3</v>
      </c>
      <c r="G22" s="30" t="n">
        <v>3</v>
      </c>
      <c r="H22" s="30" t="n">
        <v>3</v>
      </c>
      <c r="I22" s="30" t="n">
        <v>3</v>
      </c>
      <c r="J22" s="30" t="n">
        <v>3</v>
      </c>
      <c r="K22" s="30" t="s">
        <v>142</v>
      </c>
      <c r="L22" s="30" t="s">
        <v>104</v>
      </c>
      <c r="M22" s="30" t="s">
        <v>106</v>
      </c>
      <c r="N22" s="30"/>
      <c r="O22" s="30" t="s">
        <v>191</v>
      </c>
      <c r="P22" s="31" t="s">
        <v>192</v>
      </c>
      <c r="Q22" s="32" t="n">
        <f aca="false">IF(A22="","",IF(K22="Y",0,(E22*Rubric!$B$5+F22*Rubric!$B$6+G22*Rubric!$B$7+H22*Rubric!$B$8+N(I22)*Rubric!$B$9+J22*Rubric!$B$10)/(Rubric!$B$5+Rubric!$B$6+Rubric!$B$7+Rubric!$B$8+IF(I22="",0,Rubric!$B$9)+Rubric!$B$10)))</f>
        <v>3</v>
      </c>
      <c r="R22" s="20" t="n">
        <f aca="false">IF(A22="","",IF(K22="Y",0,ROUND((Q22-1)/4*100,0)))</f>
        <v>50</v>
      </c>
      <c r="S22" s="33" t="str">
        <f aca="false">IF(A22="","",IF(K22="Y","Hard fail",IF(Q22&gt;=Rubric!$B$14,"Pass","Fail")))</f>
        <v>Fail</v>
      </c>
    </row>
    <row r="23" customFormat="false" ht="30" hidden="false" customHeight="true" outlineLevel="0" collapsed="false">
      <c r="A23" s="29" t="s">
        <v>193</v>
      </c>
      <c r="B23" s="30" t="s">
        <v>55</v>
      </c>
      <c r="C23" s="31" t="s">
        <v>194</v>
      </c>
      <c r="D23" s="30" t="s">
        <v>141</v>
      </c>
      <c r="E23" s="30" t="n">
        <v>4</v>
      </c>
      <c r="F23" s="30" t="n">
        <v>3</v>
      </c>
      <c r="G23" s="30" t="n">
        <v>4</v>
      </c>
      <c r="H23" s="30" t="n">
        <v>4</v>
      </c>
      <c r="I23" s="30" t="n">
        <v>3</v>
      </c>
      <c r="J23" s="30" t="n">
        <v>3</v>
      </c>
      <c r="K23" s="30" t="s">
        <v>142</v>
      </c>
      <c r="L23" s="30" t="s">
        <v>106</v>
      </c>
      <c r="M23" s="30"/>
      <c r="N23" s="30"/>
      <c r="O23" s="30" t="s">
        <v>184</v>
      </c>
      <c r="P23" s="31" t="s">
        <v>195</v>
      </c>
      <c r="Q23" s="32" t="n">
        <f aca="false">IF(A23="","",IF(K23="Y",0,(E23*Rubric!$B$5+F23*Rubric!$B$6+G23*Rubric!$B$7+H23*Rubric!$B$8+N(I23)*Rubric!$B$9+J23*Rubric!$B$10)/(Rubric!$B$5+Rubric!$B$6+Rubric!$B$7+Rubric!$B$8+IF(I23="",0,Rubric!$B$9)+Rubric!$B$10)))</f>
        <v>3.6</v>
      </c>
      <c r="R23" s="20" t="n">
        <f aca="false">IF(A23="","",IF(K23="Y",0,ROUND((Q23-1)/4*100,0)))</f>
        <v>65</v>
      </c>
      <c r="S23" s="33" t="str">
        <f aca="false">IF(A23="","",IF(K23="Y","Hard fail",IF(Q23&gt;=Rubric!$B$14,"Pass","Fail")))</f>
        <v>Pass</v>
      </c>
    </row>
    <row r="24" customFormat="false" ht="30" hidden="false" customHeight="true" outlineLevel="0" collapsed="false">
      <c r="A24" s="29" t="s">
        <v>196</v>
      </c>
      <c r="B24" s="30" t="s">
        <v>56</v>
      </c>
      <c r="C24" s="31" t="s">
        <v>194</v>
      </c>
      <c r="D24" s="30" t="s">
        <v>141</v>
      </c>
      <c r="E24" s="30" t="n">
        <v>4</v>
      </c>
      <c r="F24" s="30" t="n">
        <v>2</v>
      </c>
      <c r="G24" s="30" t="n">
        <v>2</v>
      </c>
      <c r="H24" s="30" t="n">
        <v>2</v>
      </c>
      <c r="I24" s="30" t="n">
        <v>2</v>
      </c>
      <c r="J24" s="30" t="n">
        <v>3</v>
      </c>
      <c r="K24" s="30" t="s">
        <v>142</v>
      </c>
      <c r="L24" s="30" t="s">
        <v>104</v>
      </c>
      <c r="M24" s="30" t="s">
        <v>106</v>
      </c>
      <c r="N24" s="30" t="s">
        <v>110</v>
      </c>
      <c r="O24" s="30" t="s">
        <v>176</v>
      </c>
      <c r="P24" s="31" t="s">
        <v>197</v>
      </c>
      <c r="Q24" s="32" t="n">
        <f aca="false">IF(A24="","",IF(K24="Y",0,(E24*Rubric!$B$5+F24*Rubric!$B$6+G24*Rubric!$B$7+H24*Rubric!$B$8+N(I24)*Rubric!$B$9+J24*Rubric!$B$10)/(Rubric!$B$5+Rubric!$B$6+Rubric!$B$7+Rubric!$B$8+IF(I24="",0,Rubric!$B$9)+Rubric!$B$10)))</f>
        <v>2.5</v>
      </c>
      <c r="R24" s="20" t="n">
        <f aca="false">IF(A24="","",IF(K24="Y",0,ROUND((Q24-1)/4*100,0)))</f>
        <v>38</v>
      </c>
      <c r="S24" s="33" t="str">
        <f aca="false">IF(A24="","",IF(K24="Y","Hard fail",IF(Q24&gt;=Rubric!$B$14,"Pass","Fail")))</f>
        <v>Fail</v>
      </c>
    </row>
    <row r="25" customFormat="false" ht="15" hidden="false" customHeight="true" outlineLevel="0" collapsed="false">
      <c r="Q25" s="34" t="str">
        <f aca="false">IF(A25="","",IF(K25="Y",0,(E25*Rubric!$B$5+F25*Rubric!$B$6+G25*Rubric!$B$7+H25*Rubric!$B$8+N(I25)*Rubric!$B$9+J25*Rubric!$B$10)/(Rubric!$B$5+Rubric!$B$6+Rubric!$B$7+Rubric!$B$8+IF(I25="",0,Rubric!$B$9)+Rubric!$B$10)))</f>
        <v/>
      </c>
      <c r="R25" s="0" t="str">
        <f aca="false">IF(A25="","",IF(K25="Y",0,ROUND((Q25-1)/4*100,0)))</f>
        <v/>
      </c>
      <c r="S25" s="0" t="str">
        <f aca="false">IF(A25="","",IF(K25="Y","Hard fail",IF(Q25&gt;=Rubric!$B$14,"Pass","Fail")))</f>
        <v/>
      </c>
    </row>
    <row r="26" customFormat="false" ht="15" hidden="false" customHeight="true" outlineLevel="0" collapsed="false">
      <c r="Q26" s="34" t="str">
        <f aca="false">IF(A26="","",IF(K26="Y",0,(E26*Rubric!$B$5+F26*Rubric!$B$6+G26*Rubric!$B$7+H26*Rubric!$B$8+N(I26)*Rubric!$B$9+J26*Rubric!$B$10)/(Rubric!$B$5+Rubric!$B$6+Rubric!$B$7+Rubric!$B$8+IF(I26="",0,Rubric!$B$9)+Rubric!$B$10)))</f>
        <v/>
      </c>
      <c r="R26" s="0" t="str">
        <f aca="false">IF(A26="","",IF(K26="Y",0,ROUND((Q26-1)/4*100,0)))</f>
        <v/>
      </c>
      <c r="S26" s="0" t="str">
        <f aca="false">IF(A26="","",IF(K26="Y","Hard fail",IF(Q26&gt;=Rubric!$B$14,"Pass","Fail")))</f>
        <v/>
      </c>
    </row>
    <row r="27" customFormat="false" ht="15" hidden="false" customHeight="true" outlineLevel="0" collapsed="false">
      <c r="Q27" s="34" t="str">
        <f aca="false">IF(A27="","",IF(K27="Y",0,(E27*Rubric!$B$5+F27*Rubric!$B$6+G27*Rubric!$B$7+H27*Rubric!$B$8+N(I27)*Rubric!$B$9+J27*Rubric!$B$10)/(Rubric!$B$5+Rubric!$B$6+Rubric!$B$7+Rubric!$B$8+IF(I27="",0,Rubric!$B$9)+Rubric!$B$10)))</f>
        <v/>
      </c>
      <c r="R27" s="0" t="str">
        <f aca="false">IF(A27="","",IF(K27="Y",0,ROUND((Q27-1)/4*100,0)))</f>
        <v/>
      </c>
      <c r="S27" s="0" t="str">
        <f aca="false">IF(A27="","",IF(K27="Y","Hard fail",IF(Q27&gt;=Rubric!$B$14,"Pass","Fail")))</f>
        <v/>
      </c>
    </row>
    <row r="28" customFormat="false" ht="15" hidden="false" customHeight="true" outlineLevel="0" collapsed="false">
      <c r="Q28" s="34" t="str">
        <f aca="false">IF(A28="","",IF(K28="Y",0,(E28*Rubric!$B$5+F28*Rubric!$B$6+G28*Rubric!$B$7+H28*Rubric!$B$8+N(I28)*Rubric!$B$9+J28*Rubric!$B$10)/(Rubric!$B$5+Rubric!$B$6+Rubric!$B$7+Rubric!$B$8+IF(I28="",0,Rubric!$B$9)+Rubric!$B$10)))</f>
        <v/>
      </c>
      <c r="R28" s="0" t="str">
        <f aca="false">IF(A28="","",IF(K28="Y",0,ROUND((Q28-1)/4*100,0)))</f>
        <v/>
      </c>
      <c r="S28" s="0" t="str">
        <f aca="false">IF(A28="","",IF(K28="Y","Hard fail",IF(Q28&gt;=Rubric!$B$14,"Pass","Fail")))</f>
        <v/>
      </c>
    </row>
    <row r="29" customFormat="false" ht="15" hidden="false" customHeight="true" outlineLevel="0" collapsed="false">
      <c r="Q29" s="34" t="str">
        <f aca="false">IF(A29="","",IF(K29="Y",0,(E29*Rubric!$B$5+F29*Rubric!$B$6+G29*Rubric!$B$7+H29*Rubric!$B$8+N(I29)*Rubric!$B$9+J29*Rubric!$B$10)/(Rubric!$B$5+Rubric!$B$6+Rubric!$B$7+Rubric!$B$8+IF(I29="",0,Rubric!$B$9)+Rubric!$B$10)))</f>
        <v/>
      </c>
      <c r="R29" s="0" t="str">
        <f aca="false">IF(A29="","",IF(K29="Y",0,ROUND((Q29-1)/4*100,0)))</f>
        <v/>
      </c>
      <c r="S29" s="0" t="str">
        <f aca="false">IF(A29="","",IF(K29="Y","Hard fail",IF(Q29&gt;=Rubric!$B$14,"Pass","Fail")))</f>
        <v/>
      </c>
    </row>
    <row r="30" customFormat="false" ht="15" hidden="false" customHeight="true" outlineLevel="0" collapsed="false">
      <c r="Q30" s="34" t="str">
        <f aca="false">IF(A30="","",IF(K30="Y",0,(E30*Rubric!$B$5+F30*Rubric!$B$6+G30*Rubric!$B$7+H30*Rubric!$B$8+N(I30)*Rubric!$B$9+J30*Rubric!$B$10)/(Rubric!$B$5+Rubric!$B$6+Rubric!$B$7+Rubric!$B$8+IF(I30="",0,Rubric!$B$9)+Rubric!$B$10)))</f>
        <v/>
      </c>
      <c r="R30" s="0" t="str">
        <f aca="false">IF(A30="","",IF(K30="Y",0,ROUND((Q30-1)/4*100,0)))</f>
        <v/>
      </c>
      <c r="S30" s="0" t="str">
        <f aca="false">IF(A30="","",IF(K30="Y","Hard fail",IF(Q30&gt;=Rubric!$B$14,"Pass","Fail")))</f>
        <v/>
      </c>
    </row>
    <row r="31" customFormat="false" ht="15" hidden="false" customHeight="true" outlineLevel="0" collapsed="false">
      <c r="Q31" s="34" t="str">
        <f aca="false">IF(A31="","",IF(K31="Y",0,(E31*Rubric!$B$5+F31*Rubric!$B$6+G31*Rubric!$B$7+H31*Rubric!$B$8+N(I31)*Rubric!$B$9+J31*Rubric!$B$10)/(Rubric!$B$5+Rubric!$B$6+Rubric!$B$7+Rubric!$B$8+IF(I31="",0,Rubric!$B$9)+Rubric!$B$10)))</f>
        <v/>
      </c>
      <c r="R31" s="0" t="str">
        <f aca="false">IF(A31="","",IF(K31="Y",0,ROUND((Q31-1)/4*100,0)))</f>
        <v/>
      </c>
      <c r="S31" s="0" t="str">
        <f aca="false">IF(A31="","",IF(K31="Y","Hard fail",IF(Q31&gt;=Rubric!$B$14,"Pass","Fail")))</f>
        <v/>
      </c>
    </row>
    <row r="32" customFormat="false" ht="15" hidden="false" customHeight="true" outlineLevel="0" collapsed="false">
      <c r="Q32" s="34" t="str">
        <f aca="false">IF(A32="","",IF(K32="Y",0,(E32*Rubric!$B$5+F32*Rubric!$B$6+G32*Rubric!$B$7+H32*Rubric!$B$8+N(I32)*Rubric!$B$9+J32*Rubric!$B$10)/(Rubric!$B$5+Rubric!$B$6+Rubric!$B$7+Rubric!$B$8+IF(I32="",0,Rubric!$B$9)+Rubric!$B$10)))</f>
        <v/>
      </c>
      <c r="R32" s="0" t="str">
        <f aca="false">IF(A32="","",IF(K32="Y",0,ROUND((Q32-1)/4*100,0)))</f>
        <v/>
      </c>
      <c r="S32" s="0" t="str">
        <f aca="false">IF(A32="","",IF(K32="Y","Hard fail",IF(Q32&gt;=Rubric!$B$14,"Pass","Fail")))</f>
        <v/>
      </c>
    </row>
    <row r="33" customFormat="false" ht="15" hidden="false" customHeight="true" outlineLevel="0" collapsed="false">
      <c r="Q33" s="34" t="str">
        <f aca="false">IF(A33="","",IF(K33="Y",0,(E33*Rubric!$B$5+F33*Rubric!$B$6+G33*Rubric!$B$7+H33*Rubric!$B$8+N(I33)*Rubric!$B$9+J33*Rubric!$B$10)/(Rubric!$B$5+Rubric!$B$6+Rubric!$B$7+Rubric!$B$8+IF(I33="",0,Rubric!$B$9)+Rubric!$B$10)))</f>
        <v/>
      </c>
      <c r="R33" s="0" t="str">
        <f aca="false">IF(A33="","",IF(K33="Y",0,ROUND((Q33-1)/4*100,0)))</f>
        <v/>
      </c>
      <c r="S33" s="0" t="str">
        <f aca="false">IF(A33="","",IF(K33="Y","Hard fail",IF(Q33&gt;=Rubric!$B$14,"Pass","Fail")))</f>
        <v/>
      </c>
    </row>
    <row r="34" customFormat="false" ht="15" hidden="false" customHeight="true" outlineLevel="0" collapsed="false">
      <c r="Q34" s="34" t="str">
        <f aca="false">IF(A34="","",IF(K34="Y",0,(E34*Rubric!$B$5+F34*Rubric!$B$6+G34*Rubric!$B$7+H34*Rubric!$B$8+N(I34)*Rubric!$B$9+J34*Rubric!$B$10)/(Rubric!$B$5+Rubric!$B$6+Rubric!$B$7+Rubric!$B$8+IF(I34="",0,Rubric!$B$9)+Rubric!$B$10)))</f>
        <v/>
      </c>
      <c r="R34" s="0" t="str">
        <f aca="false">IF(A34="","",IF(K34="Y",0,ROUND((Q34-1)/4*100,0)))</f>
        <v/>
      </c>
      <c r="S34" s="0" t="str">
        <f aca="false">IF(A34="","",IF(K34="Y","Hard fail",IF(Q34&gt;=Rubric!$B$14,"Pass","Fail")))</f>
        <v/>
      </c>
    </row>
    <row r="35" customFormat="false" ht="15" hidden="false" customHeight="true" outlineLevel="0" collapsed="false">
      <c r="Q35" s="34" t="str">
        <f aca="false">IF(A35="","",IF(K35="Y",0,(E35*Rubric!$B$5+F35*Rubric!$B$6+G35*Rubric!$B$7+H35*Rubric!$B$8+N(I35)*Rubric!$B$9+J35*Rubric!$B$10)/(Rubric!$B$5+Rubric!$B$6+Rubric!$B$7+Rubric!$B$8+IF(I35="",0,Rubric!$B$9)+Rubric!$B$10)))</f>
        <v/>
      </c>
      <c r="R35" s="0" t="str">
        <f aca="false">IF(A35="","",IF(K35="Y",0,ROUND((Q35-1)/4*100,0)))</f>
        <v/>
      </c>
      <c r="S35" s="0" t="str">
        <f aca="false">IF(A35="","",IF(K35="Y","Hard fail",IF(Q35&gt;=Rubric!$B$14,"Pass","Fail")))</f>
        <v/>
      </c>
    </row>
    <row r="36" customFormat="false" ht="15" hidden="false" customHeight="true" outlineLevel="0" collapsed="false">
      <c r="Q36" s="34" t="str">
        <f aca="false">IF(A36="","",IF(K36="Y",0,(E36*Rubric!$B$5+F36*Rubric!$B$6+G36*Rubric!$B$7+H36*Rubric!$B$8+N(I36)*Rubric!$B$9+J36*Rubric!$B$10)/(Rubric!$B$5+Rubric!$B$6+Rubric!$B$7+Rubric!$B$8+IF(I36="",0,Rubric!$B$9)+Rubric!$B$10)))</f>
        <v/>
      </c>
      <c r="R36" s="0" t="str">
        <f aca="false">IF(A36="","",IF(K36="Y",0,ROUND((Q36-1)/4*100,0)))</f>
        <v/>
      </c>
      <c r="S36" s="0" t="str">
        <f aca="false">IF(A36="","",IF(K36="Y","Hard fail",IF(Q36&gt;=Rubric!$B$14,"Pass","Fail")))</f>
        <v/>
      </c>
    </row>
    <row r="37" customFormat="false" ht="15" hidden="false" customHeight="true" outlineLevel="0" collapsed="false">
      <c r="Q37" s="34" t="str">
        <f aca="false">IF(A37="","",IF(K37="Y",0,(E37*Rubric!$B$5+F37*Rubric!$B$6+G37*Rubric!$B$7+H37*Rubric!$B$8+N(I37)*Rubric!$B$9+J37*Rubric!$B$10)/(Rubric!$B$5+Rubric!$B$6+Rubric!$B$7+Rubric!$B$8+IF(I37="",0,Rubric!$B$9)+Rubric!$B$10)))</f>
        <v/>
      </c>
      <c r="R37" s="0" t="str">
        <f aca="false">IF(A37="","",IF(K37="Y",0,ROUND((Q37-1)/4*100,0)))</f>
        <v/>
      </c>
      <c r="S37" s="0" t="str">
        <f aca="false">IF(A37="","",IF(K37="Y","Hard fail",IF(Q37&gt;=Rubric!$B$14,"Pass","Fail")))</f>
        <v/>
      </c>
    </row>
    <row r="38" customFormat="false" ht="15" hidden="false" customHeight="true" outlineLevel="0" collapsed="false">
      <c r="Q38" s="34" t="str">
        <f aca="false">IF(A38="","",IF(K38="Y",0,(E38*Rubric!$B$5+F38*Rubric!$B$6+G38*Rubric!$B$7+H38*Rubric!$B$8+N(I38)*Rubric!$B$9+J38*Rubric!$B$10)/(Rubric!$B$5+Rubric!$B$6+Rubric!$B$7+Rubric!$B$8+IF(I38="",0,Rubric!$B$9)+Rubric!$B$10)))</f>
        <v/>
      </c>
      <c r="R38" s="0" t="str">
        <f aca="false">IF(A38="","",IF(K38="Y",0,ROUND((Q38-1)/4*100,0)))</f>
        <v/>
      </c>
      <c r="S38" s="0" t="str">
        <f aca="false">IF(A38="","",IF(K38="Y","Hard fail",IF(Q38&gt;=Rubric!$B$14,"Pass","Fail")))</f>
        <v/>
      </c>
    </row>
    <row r="39" customFormat="false" ht="15" hidden="false" customHeight="true" outlineLevel="0" collapsed="false">
      <c r="Q39" s="34" t="str">
        <f aca="false">IF(A39="","",IF(K39="Y",0,(E39*Rubric!$B$5+F39*Rubric!$B$6+G39*Rubric!$B$7+H39*Rubric!$B$8+N(I39)*Rubric!$B$9+J39*Rubric!$B$10)/(Rubric!$B$5+Rubric!$B$6+Rubric!$B$7+Rubric!$B$8+IF(I39="",0,Rubric!$B$9)+Rubric!$B$10)))</f>
        <v/>
      </c>
      <c r="R39" s="0" t="str">
        <f aca="false">IF(A39="","",IF(K39="Y",0,ROUND((Q39-1)/4*100,0)))</f>
        <v/>
      </c>
      <c r="S39" s="0" t="str">
        <f aca="false">IF(A39="","",IF(K39="Y","Hard fail",IF(Q39&gt;=Rubric!$B$14,"Pass","Fail")))</f>
        <v/>
      </c>
    </row>
    <row r="40" customFormat="false" ht="15" hidden="false" customHeight="true" outlineLevel="0" collapsed="false">
      <c r="Q40" s="34" t="str">
        <f aca="false">IF(A40="","",IF(K40="Y",0,(E40*Rubric!$B$5+F40*Rubric!$B$6+G40*Rubric!$B$7+H40*Rubric!$B$8+N(I40)*Rubric!$B$9+J40*Rubric!$B$10)/(Rubric!$B$5+Rubric!$B$6+Rubric!$B$7+Rubric!$B$8+IF(I40="",0,Rubric!$B$9)+Rubric!$B$10)))</f>
        <v/>
      </c>
      <c r="R40" s="0" t="str">
        <f aca="false">IF(A40="","",IF(K40="Y",0,ROUND((Q40-1)/4*100,0)))</f>
        <v/>
      </c>
      <c r="S40" s="0" t="str">
        <f aca="false">IF(A40="","",IF(K40="Y","Hard fail",IF(Q40&gt;=Rubric!$B$14,"Pass","Fail")))</f>
        <v/>
      </c>
    </row>
    <row r="41" customFormat="false" ht="15" hidden="false" customHeight="true" outlineLevel="0" collapsed="false">
      <c r="Q41" s="34" t="str">
        <f aca="false">IF(A41="","",IF(K41="Y",0,(E41*Rubric!$B$5+F41*Rubric!$B$6+G41*Rubric!$B$7+H41*Rubric!$B$8+N(I41)*Rubric!$B$9+J41*Rubric!$B$10)/(Rubric!$B$5+Rubric!$B$6+Rubric!$B$7+Rubric!$B$8+IF(I41="",0,Rubric!$B$9)+Rubric!$B$10)))</f>
        <v/>
      </c>
      <c r="R41" s="0" t="str">
        <f aca="false">IF(A41="","",IF(K41="Y",0,ROUND((Q41-1)/4*100,0)))</f>
        <v/>
      </c>
      <c r="S41" s="0" t="str">
        <f aca="false">IF(A41="","",IF(K41="Y","Hard fail",IF(Q41&gt;=Rubric!$B$14,"Pass","Fail")))</f>
        <v/>
      </c>
    </row>
    <row r="42" customFormat="false" ht="15" hidden="false" customHeight="true" outlineLevel="0" collapsed="false">
      <c r="Q42" s="34" t="str">
        <f aca="false">IF(A42="","",IF(K42="Y",0,(E42*Rubric!$B$5+F42*Rubric!$B$6+G42*Rubric!$B$7+H42*Rubric!$B$8+N(I42)*Rubric!$B$9+J42*Rubric!$B$10)/(Rubric!$B$5+Rubric!$B$6+Rubric!$B$7+Rubric!$B$8+IF(I42="",0,Rubric!$B$9)+Rubric!$B$10)))</f>
        <v/>
      </c>
      <c r="R42" s="0" t="str">
        <f aca="false">IF(A42="","",IF(K42="Y",0,ROUND((Q42-1)/4*100,0)))</f>
        <v/>
      </c>
      <c r="S42" s="0" t="str">
        <f aca="false">IF(A42="","",IF(K42="Y","Hard fail",IF(Q42&gt;=Rubric!$B$14,"Pass","Fail")))</f>
        <v/>
      </c>
    </row>
    <row r="43" customFormat="false" ht="15" hidden="false" customHeight="true" outlineLevel="0" collapsed="false">
      <c r="Q43" s="34" t="str">
        <f aca="false">IF(A43="","",IF(K43="Y",0,(E43*Rubric!$B$5+F43*Rubric!$B$6+G43*Rubric!$B$7+H43*Rubric!$B$8+N(I43)*Rubric!$B$9+J43*Rubric!$B$10)/(Rubric!$B$5+Rubric!$B$6+Rubric!$B$7+Rubric!$B$8+IF(I43="",0,Rubric!$B$9)+Rubric!$B$10)))</f>
        <v/>
      </c>
      <c r="R43" s="0" t="str">
        <f aca="false">IF(A43="","",IF(K43="Y",0,ROUND((Q43-1)/4*100,0)))</f>
        <v/>
      </c>
      <c r="S43" s="0" t="str">
        <f aca="false">IF(A43="","",IF(K43="Y","Hard fail",IF(Q43&gt;=Rubric!$B$14,"Pass","Fail")))</f>
        <v/>
      </c>
    </row>
    <row r="44" customFormat="false" ht="15" hidden="false" customHeight="true" outlineLevel="0" collapsed="false">
      <c r="Q44" s="34" t="str">
        <f aca="false">IF(A44="","",IF(K44="Y",0,(E44*Rubric!$B$5+F44*Rubric!$B$6+G44*Rubric!$B$7+H44*Rubric!$B$8+N(I44)*Rubric!$B$9+J44*Rubric!$B$10)/(Rubric!$B$5+Rubric!$B$6+Rubric!$B$7+Rubric!$B$8+IF(I44="",0,Rubric!$B$9)+Rubric!$B$10)))</f>
        <v/>
      </c>
      <c r="R44" s="0" t="str">
        <f aca="false">IF(A44="","",IF(K44="Y",0,ROUND((Q44-1)/4*100,0)))</f>
        <v/>
      </c>
      <c r="S44" s="0" t="str">
        <f aca="false">IF(A44="","",IF(K44="Y","Hard fail",IF(Q44&gt;=Rubric!$B$14,"Pass","Fail")))</f>
        <v/>
      </c>
    </row>
    <row r="45" customFormat="false" ht="15" hidden="false" customHeight="true" outlineLevel="0" collapsed="false">
      <c r="Q45" s="34" t="str">
        <f aca="false">IF(A45="","",IF(K45="Y",0,(E45*Rubric!$B$5+F45*Rubric!$B$6+G45*Rubric!$B$7+H45*Rubric!$B$8+N(I45)*Rubric!$B$9+J45*Rubric!$B$10)/(Rubric!$B$5+Rubric!$B$6+Rubric!$B$7+Rubric!$B$8+IF(I45="",0,Rubric!$B$9)+Rubric!$B$10)))</f>
        <v/>
      </c>
      <c r="R45" s="0" t="str">
        <f aca="false">IF(A45="","",IF(K45="Y",0,ROUND((Q45-1)/4*100,0)))</f>
        <v/>
      </c>
      <c r="S45" s="0" t="str">
        <f aca="false">IF(A45="","",IF(K45="Y","Hard fail",IF(Q45&gt;=Rubric!$B$14,"Pass","Fail")))</f>
        <v/>
      </c>
    </row>
    <row r="46" customFormat="false" ht="15" hidden="false" customHeight="true" outlineLevel="0" collapsed="false">
      <c r="Q46" s="34" t="str">
        <f aca="false">IF(A46="","",IF(K46="Y",0,(E46*Rubric!$B$5+F46*Rubric!$B$6+G46*Rubric!$B$7+H46*Rubric!$B$8+N(I46)*Rubric!$B$9+J46*Rubric!$B$10)/(Rubric!$B$5+Rubric!$B$6+Rubric!$B$7+Rubric!$B$8+IF(I46="",0,Rubric!$B$9)+Rubric!$B$10)))</f>
        <v/>
      </c>
      <c r="R46" s="0" t="str">
        <f aca="false">IF(A46="","",IF(K46="Y",0,ROUND((Q46-1)/4*100,0)))</f>
        <v/>
      </c>
      <c r="S46" s="0" t="str">
        <f aca="false">IF(A46="","",IF(K46="Y","Hard fail",IF(Q46&gt;=Rubric!$B$14,"Pass","Fail")))</f>
        <v/>
      </c>
    </row>
    <row r="47" customFormat="false" ht="15" hidden="false" customHeight="true" outlineLevel="0" collapsed="false">
      <c r="Q47" s="34" t="str">
        <f aca="false">IF(A47="","",IF(K47="Y",0,(E47*Rubric!$B$5+F47*Rubric!$B$6+G47*Rubric!$B$7+H47*Rubric!$B$8+N(I47)*Rubric!$B$9+J47*Rubric!$B$10)/(Rubric!$B$5+Rubric!$B$6+Rubric!$B$7+Rubric!$B$8+IF(I47="",0,Rubric!$B$9)+Rubric!$B$10)))</f>
        <v/>
      </c>
      <c r="R47" s="0" t="str">
        <f aca="false">IF(A47="","",IF(K47="Y",0,ROUND((Q47-1)/4*100,0)))</f>
        <v/>
      </c>
      <c r="S47" s="0" t="str">
        <f aca="false">IF(A47="","",IF(K47="Y","Hard fail",IF(Q47&gt;=Rubric!$B$14,"Pass","Fail")))</f>
        <v/>
      </c>
    </row>
    <row r="48" customFormat="false" ht="15" hidden="false" customHeight="true" outlineLevel="0" collapsed="false">
      <c r="Q48" s="34" t="str">
        <f aca="false">IF(A48="","",IF(K48="Y",0,(E48*Rubric!$B$5+F48*Rubric!$B$6+G48*Rubric!$B$7+H48*Rubric!$B$8+N(I48)*Rubric!$B$9+J48*Rubric!$B$10)/(Rubric!$B$5+Rubric!$B$6+Rubric!$B$7+Rubric!$B$8+IF(I48="",0,Rubric!$B$9)+Rubric!$B$10)))</f>
        <v/>
      </c>
      <c r="R48" s="0" t="str">
        <f aca="false">IF(A48="","",IF(K48="Y",0,ROUND((Q48-1)/4*100,0)))</f>
        <v/>
      </c>
      <c r="S48" s="0" t="str">
        <f aca="false">IF(A48="","",IF(K48="Y","Hard fail",IF(Q48&gt;=Rubric!$B$14,"Pass","Fail")))</f>
        <v/>
      </c>
    </row>
    <row r="49" customFormat="false" ht="15" hidden="false" customHeight="true" outlineLevel="0" collapsed="false">
      <c r="Q49" s="34" t="str">
        <f aca="false">IF(A49="","",IF(K49="Y",0,(E49*Rubric!$B$5+F49*Rubric!$B$6+G49*Rubric!$B$7+H49*Rubric!$B$8+N(I49)*Rubric!$B$9+J49*Rubric!$B$10)/(Rubric!$B$5+Rubric!$B$6+Rubric!$B$7+Rubric!$B$8+IF(I49="",0,Rubric!$B$9)+Rubric!$B$10)))</f>
        <v/>
      </c>
      <c r="R49" s="0" t="str">
        <f aca="false">IF(A49="","",IF(K49="Y",0,ROUND((Q49-1)/4*100,0)))</f>
        <v/>
      </c>
      <c r="S49" s="0" t="str">
        <f aca="false">IF(A49="","",IF(K49="Y","Hard fail",IF(Q49&gt;=Rubric!$B$14,"Pass","Fail")))</f>
        <v/>
      </c>
    </row>
    <row r="50" customFormat="false" ht="15" hidden="false" customHeight="true" outlineLevel="0" collapsed="false">
      <c r="Q50" s="34" t="str">
        <f aca="false">IF(A50="","",IF(K50="Y",0,(E50*Rubric!$B$5+F50*Rubric!$B$6+G50*Rubric!$B$7+H50*Rubric!$B$8+N(I50)*Rubric!$B$9+J50*Rubric!$B$10)/(Rubric!$B$5+Rubric!$B$6+Rubric!$B$7+Rubric!$B$8+IF(I50="",0,Rubric!$B$9)+Rubric!$B$10)))</f>
        <v/>
      </c>
      <c r="R50" s="0" t="str">
        <f aca="false">IF(A50="","",IF(K50="Y",0,ROUND((Q50-1)/4*100,0)))</f>
        <v/>
      </c>
      <c r="S50" s="0" t="str">
        <f aca="false">IF(A50="","",IF(K50="Y","Hard fail",IF(Q50&gt;=Rubric!$B$14,"Pass","Fail")))</f>
        <v/>
      </c>
    </row>
    <row r="51" customFormat="false" ht="15" hidden="false" customHeight="true" outlineLevel="0" collapsed="false">
      <c r="Q51" s="34" t="str">
        <f aca="false">IF(A51="","",IF(K51="Y",0,(E51*Rubric!$B$5+F51*Rubric!$B$6+G51*Rubric!$B$7+H51*Rubric!$B$8+N(I51)*Rubric!$B$9+J51*Rubric!$B$10)/(Rubric!$B$5+Rubric!$B$6+Rubric!$B$7+Rubric!$B$8+IF(I51="",0,Rubric!$B$9)+Rubric!$B$10)))</f>
        <v/>
      </c>
      <c r="R51" s="0" t="str">
        <f aca="false">IF(A51="","",IF(K51="Y",0,ROUND((Q51-1)/4*100,0)))</f>
        <v/>
      </c>
      <c r="S51" s="0" t="str">
        <f aca="false">IF(A51="","",IF(K51="Y","Hard fail",IF(Q51&gt;=Rubric!$B$14,"Pass","Fail")))</f>
        <v/>
      </c>
    </row>
    <row r="52" customFormat="false" ht="15" hidden="false" customHeight="true" outlineLevel="0" collapsed="false">
      <c r="Q52" s="34" t="str">
        <f aca="false">IF(A52="","",IF(K52="Y",0,(E52*Rubric!$B$5+F52*Rubric!$B$6+G52*Rubric!$B$7+H52*Rubric!$B$8+N(I52)*Rubric!$B$9+J52*Rubric!$B$10)/(Rubric!$B$5+Rubric!$B$6+Rubric!$B$7+Rubric!$B$8+IF(I52="",0,Rubric!$B$9)+Rubric!$B$10)))</f>
        <v/>
      </c>
      <c r="R52" s="0" t="str">
        <f aca="false">IF(A52="","",IF(K52="Y",0,ROUND((Q52-1)/4*100,0)))</f>
        <v/>
      </c>
      <c r="S52" s="0" t="str">
        <f aca="false">IF(A52="","",IF(K52="Y","Hard fail",IF(Q52&gt;=Rubric!$B$14,"Pass","Fail")))</f>
        <v/>
      </c>
    </row>
    <row r="53" customFormat="false" ht="15" hidden="false" customHeight="true" outlineLevel="0" collapsed="false">
      <c r="Q53" s="34" t="str">
        <f aca="false">IF(A53="","",IF(K53="Y",0,(E53*Rubric!$B$5+F53*Rubric!$B$6+G53*Rubric!$B$7+H53*Rubric!$B$8+N(I53)*Rubric!$B$9+J53*Rubric!$B$10)/(Rubric!$B$5+Rubric!$B$6+Rubric!$B$7+Rubric!$B$8+IF(I53="",0,Rubric!$B$9)+Rubric!$B$10)))</f>
        <v/>
      </c>
      <c r="R53" s="0" t="str">
        <f aca="false">IF(A53="","",IF(K53="Y",0,ROUND((Q53-1)/4*100,0)))</f>
        <v/>
      </c>
      <c r="S53" s="0" t="str">
        <f aca="false">IF(A53="","",IF(K53="Y","Hard fail",IF(Q53&gt;=Rubric!$B$14,"Pass","Fail")))</f>
        <v/>
      </c>
    </row>
    <row r="54" customFormat="false" ht="15" hidden="false" customHeight="true" outlineLevel="0" collapsed="false">
      <c r="Q54" s="34" t="str">
        <f aca="false">IF(A54="","",IF(K54="Y",0,(E54*Rubric!$B$5+F54*Rubric!$B$6+G54*Rubric!$B$7+H54*Rubric!$B$8+N(I54)*Rubric!$B$9+J54*Rubric!$B$10)/(Rubric!$B$5+Rubric!$B$6+Rubric!$B$7+Rubric!$B$8+IF(I54="",0,Rubric!$B$9)+Rubric!$B$10)))</f>
        <v/>
      </c>
      <c r="R54" s="0" t="str">
        <f aca="false">IF(A54="","",IF(K54="Y",0,ROUND((Q54-1)/4*100,0)))</f>
        <v/>
      </c>
      <c r="S54" s="0" t="str">
        <f aca="false">IF(A54="","",IF(K54="Y","Hard fail",IF(Q54&gt;=Rubric!$B$14,"Pass","Fail")))</f>
        <v/>
      </c>
    </row>
    <row r="55" customFormat="false" ht="15" hidden="false" customHeight="true" outlineLevel="0" collapsed="false">
      <c r="Q55" s="34" t="str">
        <f aca="false">IF(A55="","",IF(K55="Y",0,(E55*Rubric!$B$5+F55*Rubric!$B$6+G55*Rubric!$B$7+H55*Rubric!$B$8+N(I55)*Rubric!$B$9+J55*Rubric!$B$10)/(Rubric!$B$5+Rubric!$B$6+Rubric!$B$7+Rubric!$B$8+IF(I55="",0,Rubric!$B$9)+Rubric!$B$10)))</f>
        <v/>
      </c>
      <c r="R55" s="0" t="str">
        <f aca="false">IF(A55="","",IF(K55="Y",0,ROUND((Q55-1)/4*100,0)))</f>
        <v/>
      </c>
      <c r="S55" s="0" t="str">
        <f aca="false">IF(A55="","",IF(K55="Y","Hard fail",IF(Q55&gt;=Rubric!$B$14,"Pass","Fail")))</f>
        <v/>
      </c>
    </row>
    <row r="56" customFormat="false" ht="15" hidden="false" customHeight="true" outlineLevel="0" collapsed="false">
      <c r="Q56" s="34" t="str">
        <f aca="false">IF(A56="","",IF(K56="Y",0,(E56*Rubric!$B$5+F56*Rubric!$B$6+G56*Rubric!$B$7+H56*Rubric!$B$8+N(I56)*Rubric!$B$9+J56*Rubric!$B$10)/(Rubric!$B$5+Rubric!$B$6+Rubric!$B$7+Rubric!$B$8+IF(I56="",0,Rubric!$B$9)+Rubric!$B$10)))</f>
        <v/>
      </c>
      <c r="R56" s="0" t="str">
        <f aca="false">IF(A56="","",IF(K56="Y",0,ROUND((Q56-1)/4*100,0)))</f>
        <v/>
      </c>
      <c r="S56" s="0" t="str">
        <f aca="false">IF(A56="","",IF(K56="Y","Hard fail",IF(Q56&gt;=Rubric!$B$14,"Pass","Fail")))</f>
        <v/>
      </c>
    </row>
    <row r="57" customFormat="false" ht="15" hidden="false" customHeight="true" outlineLevel="0" collapsed="false">
      <c r="Q57" s="34" t="str">
        <f aca="false">IF(A57="","",IF(K57="Y",0,(E57*Rubric!$B$5+F57*Rubric!$B$6+G57*Rubric!$B$7+H57*Rubric!$B$8+N(I57)*Rubric!$B$9+J57*Rubric!$B$10)/(Rubric!$B$5+Rubric!$B$6+Rubric!$B$7+Rubric!$B$8+IF(I57="",0,Rubric!$B$9)+Rubric!$B$10)))</f>
        <v/>
      </c>
      <c r="R57" s="0" t="str">
        <f aca="false">IF(A57="","",IF(K57="Y",0,ROUND((Q57-1)/4*100,0)))</f>
        <v/>
      </c>
      <c r="S57" s="0" t="str">
        <f aca="false">IF(A57="","",IF(K57="Y","Hard fail",IF(Q57&gt;=Rubric!$B$14,"Pass","Fail")))</f>
        <v/>
      </c>
    </row>
    <row r="58" customFormat="false" ht="15" hidden="false" customHeight="true" outlineLevel="0" collapsed="false">
      <c r="Q58" s="34" t="str">
        <f aca="false">IF(A58="","",IF(K58="Y",0,(E58*Rubric!$B$5+F58*Rubric!$B$6+G58*Rubric!$B$7+H58*Rubric!$B$8+N(I58)*Rubric!$B$9+J58*Rubric!$B$10)/(Rubric!$B$5+Rubric!$B$6+Rubric!$B$7+Rubric!$B$8+IF(I58="",0,Rubric!$B$9)+Rubric!$B$10)))</f>
        <v/>
      </c>
      <c r="R58" s="0" t="str">
        <f aca="false">IF(A58="","",IF(K58="Y",0,ROUND((Q58-1)/4*100,0)))</f>
        <v/>
      </c>
      <c r="S58" s="0" t="str">
        <f aca="false">IF(A58="","",IF(K58="Y","Hard fail",IF(Q58&gt;=Rubric!$B$14,"Pass","Fail")))</f>
        <v/>
      </c>
    </row>
    <row r="59" customFormat="false" ht="15" hidden="false" customHeight="true" outlineLevel="0" collapsed="false">
      <c r="Q59" s="34" t="str">
        <f aca="false">IF(A59="","",IF(K59="Y",0,(E59*Rubric!$B$5+F59*Rubric!$B$6+G59*Rubric!$B$7+H59*Rubric!$B$8+N(I59)*Rubric!$B$9+J59*Rubric!$B$10)/(Rubric!$B$5+Rubric!$B$6+Rubric!$B$7+Rubric!$B$8+IF(I59="",0,Rubric!$B$9)+Rubric!$B$10)))</f>
        <v/>
      </c>
      <c r="R59" s="0" t="str">
        <f aca="false">IF(A59="","",IF(K59="Y",0,ROUND((Q59-1)/4*100,0)))</f>
        <v/>
      </c>
      <c r="S59" s="0" t="str">
        <f aca="false">IF(A59="","",IF(K59="Y","Hard fail",IF(Q59&gt;=Rubric!$B$14,"Pass","Fail")))</f>
        <v/>
      </c>
    </row>
    <row r="60" customFormat="false" ht="15" hidden="false" customHeight="true" outlineLevel="0" collapsed="false">
      <c r="Q60" s="34" t="str">
        <f aca="false">IF(A60="","",IF(K60="Y",0,(E60*Rubric!$B$5+F60*Rubric!$B$6+G60*Rubric!$B$7+H60*Rubric!$B$8+N(I60)*Rubric!$B$9+J60*Rubric!$B$10)/(Rubric!$B$5+Rubric!$B$6+Rubric!$B$7+Rubric!$B$8+IF(I60="",0,Rubric!$B$9)+Rubric!$B$10)))</f>
        <v/>
      </c>
      <c r="R60" s="0" t="str">
        <f aca="false">IF(A60="","",IF(K60="Y",0,ROUND((Q60-1)/4*100,0)))</f>
        <v/>
      </c>
      <c r="S60" s="0" t="str">
        <f aca="false">IF(A60="","",IF(K60="Y","Hard fail",IF(Q60&gt;=Rubric!$B$14,"Pass","Fail")))</f>
        <v/>
      </c>
    </row>
    <row r="61" customFormat="false" ht="15" hidden="false" customHeight="true" outlineLevel="0" collapsed="false">
      <c r="Q61" s="34" t="str">
        <f aca="false">IF(A61="","",IF(K61="Y",0,(E61*Rubric!$B$5+F61*Rubric!$B$6+G61*Rubric!$B$7+H61*Rubric!$B$8+N(I61)*Rubric!$B$9+J61*Rubric!$B$10)/(Rubric!$B$5+Rubric!$B$6+Rubric!$B$7+Rubric!$B$8+IF(I61="",0,Rubric!$B$9)+Rubric!$B$10)))</f>
        <v/>
      </c>
      <c r="R61" s="0" t="str">
        <f aca="false">IF(A61="","",IF(K61="Y",0,ROUND((Q61-1)/4*100,0)))</f>
        <v/>
      </c>
      <c r="S61" s="0" t="str">
        <f aca="false">IF(A61="","",IF(K61="Y","Hard fail",IF(Q61&gt;=Rubric!$B$14,"Pass","Fail")))</f>
        <v/>
      </c>
    </row>
    <row r="62" customFormat="false" ht="15" hidden="false" customHeight="true" outlineLevel="0" collapsed="false">
      <c r="Q62" s="34" t="str">
        <f aca="false">IF(A62="","",IF(K62="Y",0,(E62*Rubric!$B$5+F62*Rubric!$B$6+G62*Rubric!$B$7+H62*Rubric!$B$8+N(I62)*Rubric!$B$9+J62*Rubric!$B$10)/(Rubric!$B$5+Rubric!$B$6+Rubric!$B$7+Rubric!$B$8+IF(I62="",0,Rubric!$B$9)+Rubric!$B$10)))</f>
        <v/>
      </c>
      <c r="R62" s="0" t="str">
        <f aca="false">IF(A62="","",IF(K62="Y",0,ROUND((Q62-1)/4*100,0)))</f>
        <v/>
      </c>
      <c r="S62" s="0" t="str">
        <f aca="false">IF(A62="","",IF(K62="Y","Hard fail",IF(Q62&gt;=Rubric!$B$14,"Pass","Fail")))</f>
        <v/>
      </c>
    </row>
    <row r="63" customFormat="false" ht="15" hidden="false" customHeight="true" outlineLevel="0" collapsed="false">
      <c r="Q63" s="34" t="str">
        <f aca="false">IF(A63="","",IF(K63="Y",0,(E63*Rubric!$B$5+F63*Rubric!$B$6+G63*Rubric!$B$7+H63*Rubric!$B$8+N(I63)*Rubric!$B$9+J63*Rubric!$B$10)/(Rubric!$B$5+Rubric!$B$6+Rubric!$B$7+Rubric!$B$8+IF(I63="",0,Rubric!$B$9)+Rubric!$B$10)))</f>
        <v/>
      </c>
      <c r="R63" s="0" t="str">
        <f aca="false">IF(A63="","",IF(K63="Y",0,ROUND((Q63-1)/4*100,0)))</f>
        <v/>
      </c>
      <c r="S63" s="0" t="str">
        <f aca="false">IF(A63="","",IF(K63="Y","Hard fail",IF(Q63&gt;=Rubric!$B$14,"Pass","Fail")))</f>
        <v/>
      </c>
    </row>
    <row r="64" customFormat="false" ht="15" hidden="false" customHeight="true" outlineLevel="0" collapsed="false">
      <c r="Q64" s="34" t="str">
        <f aca="false">IF(A64="","",IF(K64="Y",0,(E64*Rubric!$B$5+F64*Rubric!$B$6+G64*Rubric!$B$7+H64*Rubric!$B$8+N(I64)*Rubric!$B$9+J64*Rubric!$B$10)/(Rubric!$B$5+Rubric!$B$6+Rubric!$B$7+Rubric!$B$8+IF(I64="",0,Rubric!$B$9)+Rubric!$B$10)))</f>
        <v/>
      </c>
      <c r="R64" s="0" t="str">
        <f aca="false">IF(A64="","",IF(K64="Y",0,ROUND((Q64-1)/4*100,0)))</f>
        <v/>
      </c>
      <c r="S64" s="0" t="str">
        <f aca="false">IF(A64="","",IF(K64="Y","Hard fail",IF(Q64&gt;=Rubric!$B$14,"Pass","Fail")))</f>
        <v/>
      </c>
    </row>
    <row r="65" customFormat="false" ht="15" hidden="false" customHeight="true" outlineLevel="0" collapsed="false">
      <c r="Q65" s="34" t="str">
        <f aca="false">IF(A65="","",IF(K65="Y",0,(E65*Rubric!$B$5+F65*Rubric!$B$6+G65*Rubric!$B$7+H65*Rubric!$B$8+N(I65)*Rubric!$B$9+J65*Rubric!$B$10)/(Rubric!$B$5+Rubric!$B$6+Rubric!$B$7+Rubric!$B$8+IF(I65="",0,Rubric!$B$9)+Rubric!$B$10)))</f>
        <v/>
      </c>
      <c r="R65" s="0" t="str">
        <f aca="false">IF(A65="","",IF(K65="Y",0,ROUND((Q65-1)/4*100,0)))</f>
        <v/>
      </c>
      <c r="S65" s="0" t="str">
        <f aca="false">IF(A65="","",IF(K65="Y","Hard fail",IF(Q65&gt;=Rubric!$B$14,"Pass","Fail")))</f>
        <v/>
      </c>
    </row>
    <row r="66" customFormat="false" ht="15" hidden="false" customHeight="true" outlineLevel="0" collapsed="false">
      <c r="Q66" s="34" t="str">
        <f aca="false">IF(A66="","",IF(K66="Y",0,(E66*Rubric!$B$5+F66*Rubric!$B$6+G66*Rubric!$B$7+H66*Rubric!$B$8+N(I66)*Rubric!$B$9+J66*Rubric!$B$10)/(Rubric!$B$5+Rubric!$B$6+Rubric!$B$7+Rubric!$B$8+IF(I66="",0,Rubric!$B$9)+Rubric!$B$10)))</f>
        <v/>
      </c>
      <c r="R66" s="0" t="str">
        <f aca="false">IF(A66="","",IF(K66="Y",0,ROUND((Q66-1)/4*100,0)))</f>
        <v/>
      </c>
      <c r="S66" s="0" t="str">
        <f aca="false">IF(A66="","",IF(K66="Y","Hard fail",IF(Q66&gt;=Rubric!$B$14,"Pass","Fail")))</f>
        <v/>
      </c>
    </row>
    <row r="67" customFormat="false" ht="15" hidden="false" customHeight="true" outlineLevel="0" collapsed="false">
      <c r="Q67" s="34" t="str">
        <f aca="false">IF(A67="","",IF(K67="Y",0,(E67*Rubric!$B$5+F67*Rubric!$B$6+G67*Rubric!$B$7+H67*Rubric!$B$8+N(I67)*Rubric!$B$9+J67*Rubric!$B$10)/(Rubric!$B$5+Rubric!$B$6+Rubric!$B$7+Rubric!$B$8+IF(I67="",0,Rubric!$B$9)+Rubric!$B$10)))</f>
        <v/>
      </c>
      <c r="R67" s="0" t="str">
        <f aca="false">IF(A67="","",IF(K67="Y",0,ROUND((Q67-1)/4*100,0)))</f>
        <v/>
      </c>
      <c r="S67" s="0" t="str">
        <f aca="false">IF(A67="","",IF(K67="Y","Hard fail",IF(Q67&gt;=Rubric!$B$14,"Pass","Fail")))</f>
        <v/>
      </c>
    </row>
    <row r="68" customFormat="false" ht="15" hidden="false" customHeight="true" outlineLevel="0" collapsed="false">
      <c r="Q68" s="34" t="str">
        <f aca="false">IF(A68="","",IF(K68="Y",0,(E68*Rubric!$B$5+F68*Rubric!$B$6+G68*Rubric!$B$7+H68*Rubric!$B$8+N(I68)*Rubric!$B$9+J68*Rubric!$B$10)/(Rubric!$B$5+Rubric!$B$6+Rubric!$B$7+Rubric!$B$8+IF(I68="",0,Rubric!$B$9)+Rubric!$B$10)))</f>
        <v/>
      </c>
      <c r="R68" s="0" t="str">
        <f aca="false">IF(A68="","",IF(K68="Y",0,ROUND((Q68-1)/4*100,0)))</f>
        <v/>
      </c>
      <c r="S68" s="0" t="str">
        <f aca="false">IF(A68="","",IF(K68="Y","Hard fail",IF(Q68&gt;=Rubric!$B$14,"Pass","Fail")))</f>
        <v/>
      </c>
    </row>
    <row r="69" customFormat="false" ht="15" hidden="false" customHeight="true" outlineLevel="0" collapsed="false">
      <c r="Q69" s="34" t="str">
        <f aca="false">IF(A69="","",IF(K69="Y",0,(E69*Rubric!$B$5+F69*Rubric!$B$6+G69*Rubric!$B$7+H69*Rubric!$B$8+N(I69)*Rubric!$B$9+J69*Rubric!$B$10)/(Rubric!$B$5+Rubric!$B$6+Rubric!$B$7+Rubric!$B$8+IF(I69="",0,Rubric!$B$9)+Rubric!$B$10)))</f>
        <v/>
      </c>
      <c r="R69" s="0" t="str">
        <f aca="false">IF(A69="","",IF(K69="Y",0,ROUND((Q69-1)/4*100,0)))</f>
        <v/>
      </c>
      <c r="S69" s="0" t="str">
        <f aca="false">IF(A69="","",IF(K69="Y","Hard fail",IF(Q69&gt;=Rubric!$B$14,"Pass","Fail")))</f>
        <v/>
      </c>
    </row>
    <row r="70" customFormat="false" ht="15" hidden="false" customHeight="true" outlineLevel="0" collapsed="false">
      <c r="Q70" s="34" t="str">
        <f aca="false">IF(A70="","",IF(K70="Y",0,(E70*Rubric!$B$5+F70*Rubric!$B$6+G70*Rubric!$B$7+H70*Rubric!$B$8+N(I70)*Rubric!$B$9+J70*Rubric!$B$10)/(Rubric!$B$5+Rubric!$B$6+Rubric!$B$7+Rubric!$B$8+IF(I70="",0,Rubric!$B$9)+Rubric!$B$10)))</f>
        <v/>
      </c>
      <c r="R70" s="0" t="str">
        <f aca="false">IF(A70="","",IF(K70="Y",0,ROUND((Q70-1)/4*100,0)))</f>
        <v/>
      </c>
      <c r="S70" s="0" t="str">
        <f aca="false">IF(A70="","",IF(K70="Y","Hard fail",IF(Q70&gt;=Rubric!$B$14,"Pass","Fail")))</f>
        <v/>
      </c>
    </row>
    <row r="71" customFormat="false" ht="15" hidden="false" customHeight="true" outlineLevel="0" collapsed="false">
      <c r="Q71" s="34" t="str">
        <f aca="false">IF(A71="","",IF(K71="Y",0,(E71*Rubric!$B$5+F71*Rubric!$B$6+G71*Rubric!$B$7+H71*Rubric!$B$8+N(I71)*Rubric!$B$9+J71*Rubric!$B$10)/(Rubric!$B$5+Rubric!$B$6+Rubric!$B$7+Rubric!$B$8+IF(I71="",0,Rubric!$B$9)+Rubric!$B$10)))</f>
        <v/>
      </c>
      <c r="R71" s="0" t="str">
        <f aca="false">IF(A71="","",IF(K71="Y",0,ROUND((Q71-1)/4*100,0)))</f>
        <v/>
      </c>
      <c r="S71" s="0" t="str">
        <f aca="false">IF(A71="","",IF(K71="Y","Hard fail",IF(Q71&gt;=Rubric!$B$14,"Pass","Fail")))</f>
        <v/>
      </c>
    </row>
    <row r="72" customFormat="false" ht="15" hidden="false" customHeight="true" outlineLevel="0" collapsed="false">
      <c r="Q72" s="34" t="str">
        <f aca="false">IF(A72="","",IF(K72="Y",0,(E72*Rubric!$B$5+F72*Rubric!$B$6+G72*Rubric!$B$7+H72*Rubric!$B$8+N(I72)*Rubric!$B$9+J72*Rubric!$B$10)/(Rubric!$B$5+Rubric!$B$6+Rubric!$B$7+Rubric!$B$8+IF(I72="",0,Rubric!$B$9)+Rubric!$B$10)))</f>
        <v/>
      </c>
      <c r="R72" s="0" t="str">
        <f aca="false">IF(A72="","",IF(K72="Y",0,ROUND((Q72-1)/4*100,0)))</f>
        <v/>
      </c>
      <c r="S72" s="0" t="str">
        <f aca="false">IF(A72="","",IF(K72="Y","Hard fail",IF(Q72&gt;=Rubric!$B$14,"Pass","Fail")))</f>
        <v/>
      </c>
    </row>
    <row r="73" customFormat="false" ht="15" hidden="false" customHeight="true" outlineLevel="0" collapsed="false">
      <c r="Q73" s="34" t="str">
        <f aca="false">IF(A73="","",IF(K73="Y",0,(E73*Rubric!$B$5+F73*Rubric!$B$6+G73*Rubric!$B$7+H73*Rubric!$B$8+N(I73)*Rubric!$B$9+J73*Rubric!$B$10)/(Rubric!$B$5+Rubric!$B$6+Rubric!$B$7+Rubric!$B$8+IF(I73="",0,Rubric!$B$9)+Rubric!$B$10)))</f>
        <v/>
      </c>
      <c r="R73" s="0" t="str">
        <f aca="false">IF(A73="","",IF(K73="Y",0,ROUND((Q73-1)/4*100,0)))</f>
        <v/>
      </c>
      <c r="S73" s="0" t="str">
        <f aca="false">IF(A73="","",IF(K73="Y","Hard fail",IF(Q73&gt;=Rubric!$B$14,"Pass","Fail")))</f>
        <v/>
      </c>
    </row>
    <row r="74" customFormat="false" ht="15" hidden="false" customHeight="true" outlineLevel="0" collapsed="false">
      <c r="Q74" s="34" t="str">
        <f aca="false">IF(A74="","",IF(K74="Y",0,(E74*Rubric!$B$5+F74*Rubric!$B$6+G74*Rubric!$B$7+H74*Rubric!$B$8+N(I74)*Rubric!$B$9+J74*Rubric!$B$10)/(Rubric!$B$5+Rubric!$B$6+Rubric!$B$7+Rubric!$B$8+IF(I74="",0,Rubric!$B$9)+Rubric!$B$10)))</f>
        <v/>
      </c>
      <c r="R74" s="0" t="str">
        <f aca="false">IF(A74="","",IF(K74="Y",0,ROUND((Q74-1)/4*100,0)))</f>
        <v/>
      </c>
      <c r="S74" s="0" t="str">
        <f aca="false">IF(A74="","",IF(K74="Y","Hard fail",IF(Q74&gt;=Rubric!$B$14,"Pass","Fail")))</f>
        <v/>
      </c>
    </row>
    <row r="75" customFormat="false" ht="15" hidden="false" customHeight="true" outlineLevel="0" collapsed="false">
      <c r="Q75" s="34" t="str">
        <f aca="false">IF(A75="","",IF(K75="Y",0,(E75*Rubric!$B$5+F75*Rubric!$B$6+G75*Rubric!$B$7+H75*Rubric!$B$8+N(I75)*Rubric!$B$9+J75*Rubric!$B$10)/(Rubric!$B$5+Rubric!$B$6+Rubric!$B$7+Rubric!$B$8+IF(I75="",0,Rubric!$B$9)+Rubric!$B$10)))</f>
        <v/>
      </c>
      <c r="R75" s="0" t="str">
        <f aca="false">IF(A75="","",IF(K75="Y",0,ROUND((Q75-1)/4*100,0)))</f>
        <v/>
      </c>
      <c r="S75" s="0" t="str">
        <f aca="false">IF(A75="","",IF(K75="Y","Hard fail",IF(Q75&gt;=Rubric!$B$14,"Pass","Fail")))</f>
        <v/>
      </c>
    </row>
    <row r="76" customFormat="false" ht="15" hidden="false" customHeight="true" outlineLevel="0" collapsed="false">
      <c r="Q76" s="34" t="str">
        <f aca="false">IF(A76="","",IF(K76="Y",0,(E76*Rubric!$B$5+F76*Rubric!$B$6+G76*Rubric!$B$7+H76*Rubric!$B$8+N(I76)*Rubric!$B$9+J76*Rubric!$B$10)/(Rubric!$B$5+Rubric!$B$6+Rubric!$B$7+Rubric!$B$8+IF(I76="",0,Rubric!$B$9)+Rubric!$B$10)))</f>
        <v/>
      </c>
      <c r="R76" s="0" t="str">
        <f aca="false">IF(A76="","",IF(K76="Y",0,ROUND((Q76-1)/4*100,0)))</f>
        <v/>
      </c>
      <c r="S76" s="0" t="str">
        <f aca="false">IF(A76="","",IF(K76="Y","Hard fail",IF(Q76&gt;=Rubric!$B$14,"Pass","Fail")))</f>
        <v/>
      </c>
    </row>
    <row r="77" customFormat="false" ht="15" hidden="false" customHeight="true" outlineLevel="0" collapsed="false">
      <c r="Q77" s="34" t="str">
        <f aca="false">IF(A77="","",IF(K77="Y",0,(E77*Rubric!$B$5+F77*Rubric!$B$6+G77*Rubric!$B$7+H77*Rubric!$B$8+N(I77)*Rubric!$B$9+J77*Rubric!$B$10)/(Rubric!$B$5+Rubric!$B$6+Rubric!$B$7+Rubric!$B$8+IF(I77="",0,Rubric!$B$9)+Rubric!$B$10)))</f>
        <v/>
      </c>
      <c r="R77" s="0" t="str">
        <f aca="false">IF(A77="","",IF(K77="Y",0,ROUND((Q77-1)/4*100,0)))</f>
        <v/>
      </c>
      <c r="S77" s="0" t="str">
        <f aca="false">IF(A77="","",IF(K77="Y","Hard fail",IF(Q77&gt;=Rubric!$B$14,"Pass","Fail")))</f>
        <v/>
      </c>
    </row>
    <row r="78" customFormat="false" ht="15" hidden="false" customHeight="true" outlineLevel="0" collapsed="false">
      <c r="Q78" s="34" t="str">
        <f aca="false">IF(A78="","",IF(K78="Y",0,(E78*Rubric!$B$5+F78*Rubric!$B$6+G78*Rubric!$B$7+H78*Rubric!$B$8+N(I78)*Rubric!$B$9+J78*Rubric!$B$10)/(Rubric!$B$5+Rubric!$B$6+Rubric!$B$7+Rubric!$B$8+IF(I78="",0,Rubric!$B$9)+Rubric!$B$10)))</f>
        <v/>
      </c>
      <c r="R78" s="0" t="str">
        <f aca="false">IF(A78="","",IF(K78="Y",0,ROUND((Q78-1)/4*100,0)))</f>
        <v/>
      </c>
      <c r="S78" s="0" t="str">
        <f aca="false">IF(A78="","",IF(K78="Y","Hard fail",IF(Q78&gt;=Rubric!$B$14,"Pass","Fail")))</f>
        <v/>
      </c>
    </row>
    <row r="79" customFormat="false" ht="15" hidden="false" customHeight="true" outlineLevel="0" collapsed="false">
      <c r="Q79" s="34" t="str">
        <f aca="false">IF(A79="","",IF(K79="Y",0,(E79*Rubric!$B$5+F79*Rubric!$B$6+G79*Rubric!$B$7+H79*Rubric!$B$8+N(I79)*Rubric!$B$9+J79*Rubric!$B$10)/(Rubric!$B$5+Rubric!$B$6+Rubric!$B$7+Rubric!$B$8+IF(I79="",0,Rubric!$B$9)+Rubric!$B$10)))</f>
        <v/>
      </c>
      <c r="R79" s="0" t="str">
        <f aca="false">IF(A79="","",IF(K79="Y",0,ROUND((Q79-1)/4*100,0)))</f>
        <v/>
      </c>
      <c r="S79" s="0" t="str">
        <f aca="false">IF(A79="","",IF(K79="Y","Hard fail",IF(Q79&gt;=Rubric!$B$14,"Pass","Fail")))</f>
        <v/>
      </c>
    </row>
    <row r="80" customFormat="false" ht="15" hidden="false" customHeight="true" outlineLevel="0" collapsed="false">
      <c r="Q80" s="34" t="str">
        <f aca="false">IF(A80="","",IF(K80="Y",0,(E80*Rubric!$B$5+F80*Rubric!$B$6+G80*Rubric!$B$7+H80*Rubric!$B$8+N(I80)*Rubric!$B$9+J80*Rubric!$B$10)/(Rubric!$B$5+Rubric!$B$6+Rubric!$B$7+Rubric!$B$8+IF(I80="",0,Rubric!$B$9)+Rubric!$B$10)))</f>
        <v/>
      </c>
      <c r="R80" s="0" t="str">
        <f aca="false">IF(A80="","",IF(K80="Y",0,ROUND((Q80-1)/4*100,0)))</f>
        <v/>
      </c>
      <c r="S80" s="0" t="str">
        <f aca="false">IF(A80="","",IF(K80="Y","Hard fail",IF(Q80&gt;=Rubric!$B$14,"Pass","Fail")))</f>
        <v/>
      </c>
    </row>
    <row r="81" customFormat="false" ht="15" hidden="false" customHeight="true" outlineLevel="0" collapsed="false">
      <c r="Q81" s="34" t="str">
        <f aca="false">IF(A81="","",IF(K81="Y",0,(E81*Rubric!$B$5+F81*Rubric!$B$6+G81*Rubric!$B$7+H81*Rubric!$B$8+N(I81)*Rubric!$B$9+J81*Rubric!$B$10)/(Rubric!$B$5+Rubric!$B$6+Rubric!$B$7+Rubric!$B$8+IF(I81="",0,Rubric!$B$9)+Rubric!$B$10)))</f>
        <v/>
      </c>
      <c r="R81" s="0" t="str">
        <f aca="false">IF(A81="","",IF(K81="Y",0,ROUND((Q81-1)/4*100,0)))</f>
        <v/>
      </c>
      <c r="S81" s="0" t="str">
        <f aca="false">IF(A81="","",IF(K81="Y","Hard fail",IF(Q81&gt;=Rubric!$B$14,"Pass","Fail")))</f>
        <v/>
      </c>
    </row>
    <row r="82" customFormat="false" ht="15" hidden="false" customHeight="true" outlineLevel="0" collapsed="false">
      <c r="Q82" s="34" t="str">
        <f aca="false">IF(A82="","",IF(K82="Y",0,(E82*Rubric!$B$5+F82*Rubric!$B$6+G82*Rubric!$B$7+H82*Rubric!$B$8+N(I82)*Rubric!$B$9+J82*Rubric!$B$10)/(Rubric!$B$5+Rubric!$B$6+Rubric!$B$7+Rubric!$B$8+IF(I82="",0,Rubric!$B$9)+Rubric!$B$10)))</f>
        <v/>
      </c>
      <c r="R82" s="0" t="str">
        <f aca="false">IF(A82="","",IF(K82="Y",0,ROUND((Q82-1)/4*100,0)))</f>
        <v/>
      </c>
      <c r="S82" s="0" t="str">
        <f aca="false">IF(A82="","",IF(K82="Y","Hard fail",IF(Q82&gt;=Rubric!$B$14,"Pass","Fail")))</f>
        <v/>
      </c>
    </row>
    <row r="83" customFormat="false" ht="15" hidden="false" customHeight="true" outlineLevel="0" collapsed="false">
      <c r="Q83" s="34" t="str">
        <f aca="false">IF(A83="","",IF(K83="Y",0,(E83*Rubric!$B$5+F83*Rubric!$B$6+G83*Rubric!$B$7+H83*Rubric!$B$8+N(I83)*Rubric!$B$9+J83*Rubric!$B$10)/(Rubric!$B$5+Rubric!$B$6+Rubric!$B$7+Rubric!$B$8+IF(I83="",0,Rubric!$B$9)+Rubric!$B$10)))</f>
        <v/>
      </c>
      <c r="R83" s="0" t="str">
        <f aca="false">IF(A83="","",IF(K83="Y",0,ROUND((Q83-1)/4*100,0)))</f>
        <v/>
      </c>
      <c r="S83" s="0" t="str">
        <f aca="false">IF(A83="","",IF(K83="Y","Hard fail",IF(Q83&gt;=Rubric!$B$14,"Pass","Fail")))</f>
        <v/>
      </c>
    </row>
    <row r="84" customFormat="false" ht="15" hidden="false" customHeight="true" outlineLevel="0" collapsed="false">
      <c r="Q84" s="34" t="str">
        <f aca="false">IF(A84="","",IF(K84="Y",0,(E84*Rubric!$B$5+F84*Rubric!$B$6+G84*Rubric!$B$7+H84*Rubric!$B$8+N(I84)*Rubric!$B$9+J84*Rubric!$B$10)/(Rubric!$B$5+Rubric!$B$6+Rubric!$B$7+Rubric!$B$8+IF(I84="",0,Rubric!$B$9)+Rubric!$B$10)))</f>
        <v/>
      </c>
      <c r="R84" s="0" t="str">
        <f aca="false">IF(A84="","",IF(K84="Y",0,ROUND((Q84-1)/4*100,0)))</f>
        <v/>
      </c>
      <c r="S84" s="0" t="str">
        <f aca="false">IF(A84="","",IF(K84="Y","Hard fail",IF(Q84&gt;=Rubric!$B$14,"Pass","Fail")))</f>
        <v/>
      </c>
    </row>
    <row r="85" customFormat="false" ht="15" hidden="false" customHeight="true" outlineLevel="0" collapsed="false">
      <c r="Q85" s="34" t="str">
        <f aca="false">IF(A85="","",IF(K85="Y",0,(E85*Rubric!$B$5+F85*Rubric!$B$6+G85*Rubric!$B$7+H85*Rubric!$B$8+N(I85)*Rubric!$B$9+J85*Rubric!$B$10)/(Rubric!$B$5+Rubric!$B$6+Rubric!$B$7+Rubric!$B$8+IF(I85="",0,Rubric!$B$9)+Rubric!$B$10)))</f>
        <v/>
      </c>
      <c r="R85" s="0" t="str">
        <f aca="false">IF(A85="","",IF(K85="Y",0,ROUND((Q85-1)/4*100,0)))</f>
        <v/>
      </c>
      <c r="S85" s="0" t="str">
        <f aca="false">IF(A85="","",IF(K85="Y","Hard fail",IF(Q85&gt;=Rubric!$B$14,"Pass","Fail")))</f>
        <v/>
      </c>
    </row>
    <row r="86" customFormat="false" ht="15" hidden="false" customHeight="true" outlineLevel="0" collapsed="false">
      <c r="Q86" s="34" t="str">
        <f aca="false">IF(A86="","",IF(K86="Y",0,(E86*Rubric!$B$5+F86*Rubric!$B$6+G86*Rubric!$B$7+H86*Rubric!$B$8+N(I86)*Rubric!$B$9+J86*Rubric!$B$10)/(Rubric!$B$5+Rubric!$B$6+Rubric!$B$7+Rubric!$B$8+IF(I86="",0,Rubric!$B$9)+Rubric!$B$10)))</f>
        <v/>
      </c>
      <c r="R86" s="0" t="str">
        <f aca="false">IF(A86="","",IF(K86="Y",0,ROUND((Q86-1)/4*100,0)))</f>
        <v/>
      </c>
      <c r="S86" s="0" t="str">
        <f aca="false">IF(A86="","",IF(K86="Y","Hard fail",IF(Q86&gt;=Rubric!$B$14,"Pass","Fail")))</f>
        <v/>
      </c>
    </row>
    <row r="87" customFormat="false" ht="15" hidden="false" customHeight="true" outlineLevel="0" collapsed="false">
      <c r="Q87" s="34" t="str">
        <f aca="false">IF(A87="","",IF(K87="Y",0,(E87*Rubric!$B$5+F87*Rubric!$B$6+G87*Rubric!$B$7+H87*Rubric!$B$8+N(I87)*Rubric!$B$9+J87*Rubric!$B$10)/(Rubric!$B$5+Rubric!$B$6+Rubric!$B$7+Rubric!$B$8+IF(I87="",0,Rubric!$B$9)+Rubric!$B$10)))</f>
        <v/>
      </c>
      <c r="R87" s="0" t="str">
        <f aca="false">IF(A87="","",IF(K87="Y",0,ROUND((Q87-1)/4*100,0)))</f>
        <v/>
      </c>
      <c r="S87" s="0" t="str">
        <f aca="false">IF(A87="","",IF(K87="Y","Hard fail",IF(Q87&gt;=Rubric!$B$14,"Pass","Fail")))</f>
        <v/>
      </c>
    </row>
    <row r="88" customFormat="false" ht="15" hidden="false" customHeight="true" outlineLevel="0" collapsed="false">
      <c r="Q88" s="34" t="str">
        <f aca="false">IF(A88="","",IF(K88="Y",0,(E88*Rubric!$B$5+F88*Rubric!$B$6+G88*Rubric!$B$7+H88*Rubric!$B$8+N(I88)*Rubric!$B$9+J88*Rubric!$B$10)/(Rubric!$B$5+Rubric!$B$6+Rubric!$B$7+Rubric!$B$8+IF(I88="",0,Rubric!$B$9)+Rubric!$B$10)))</f>
        <v/>
      </c>
      <c r="R88" s="0" t="str">
        <f aca="false">IF(A88="","",IF(K88="Y",0,ROUND((Q88-1)/4*100,0)))</f>
        <v/>
      </c>
      <c r="S88" s="0" t="str">
        <f aca="false">IF(A88="","",IF(K88="Y","Hard fail",IF(Q88&gt;=Rubric!$B$14,"Pass","Fail")))</f>
        <v/>
      </c>
    </row>
    <row r="89" customFormat="false" ht="15" hidden="false" customHeight="true" outlineLevel="0" collapsed="false">
      <c r="Q89" s="34" t="str">
        <f aca="false">IF(A89="","",IF(K89="Y",0,(E89*Rubric!$B$5+F89*Rubric!$B$6+G89*Rubric!$B$7+H89*Rubric!$B$8+N(I89)*Rubric!$B$9+J89*Rubric!$B$10)/(Rubric!$B$5+Rubric!$B$6+Rubric!$B$7+Rubric!$B$8+IF(I89="",0,Rubric!$B$9)+Rubric!$B$10)))</f>
        <v/>
      </c>
      <c r="R89" s="0" t="str">
        <f aca="false">IF(A89="","",IF(K89="Y",0,ROUND((Q89-1)/4*100,0)))</f>
        <v/>
      </c>
      <c r="S89" s="0" t="str">
        <f aca="false">IF(A89="","",IF(K89="Y","Hard fail",IF(Q89&gt;=Rubric!$B$14,"Pass","Fail")))</f>
        <v/>
      </c>
    </row>
    <row r="90" customFormat="false" ht="15" hidden="false" customHeight="true" outlineLevel="0" collapsed="false">
      <c r="Q90" s="34" t="str">
        <f aca="false">IF(A90="","",IF(K90="Y",0,(E90*Rubric!$B$5+F90*Rubric!$B$6+G90*Rubric!$B$7+H90*Rubric!$B$8+N(I90)*Rubric!$B$9+J90*Rubric!$B$10)/(Rubric!$B$5+Rubric!$B$6+Rubric!$B$7+Rubric!$B$8+IF(I90="",0,Rubric!$B$9)+Rubric!$B$10)))</f>
        <v/>
      </c>
      <c r="R90" s="0" t="str">
        <f aca="false">IF(A90="","",IF(K90="Y",0,ROUND((Q90-1)/4*100,0)))</f>
        <v/>
      </c>
      <c r="S90" s="0" t="str">
        <f aca="false">IF(A90="","",IF(K90="Y","Hard fail",IF(Q90&gt;=Rubric!$B$14,"Pass","Fail")))</f>
        <v/>
      </c>
    </row>
    <row r="91" customFormat="false" ht="15" hidden="false" customHeight="true" outlineLevel="0" collapsed="false">
      <c r="Q91" s="34" t="str">
        <f aca="false">IF(A91="","",IF(K91="Y",0,(E91*Rubric!$B$5+F91*Rubric!$B$6+G91*Rubric!$B$7+H91*Rubric!$B$8+N(I91)*Rubric!$B$9+J91*Rubric!$B$10)/(Rubric!$B$5+Rubric!$B$6+Rubric!$B$7+Rubric!$B$8+IF(I91="",0,Rubric!$B$9)+Rubric!$B$10)))</f>
        <v/>
      </c>
      <c r="R91" s="0" t="str">
        <f aca="false">IF(A91="","",IF(K91="Y",0,ROUND((Q91-1)/4*100,0)))</f>
        <v/>
      </c>
      <c r="S91" s="0" t="str">
        <f aca="false">IF(A91="","",IF(K91="Y","Hard fail",IF(Q91&gt;=Rubric!$B$14,"Pass","Fail")))</f>
        <v/>
      </c>
    </row>
    <row r="92" customFormat="false" ht="15" hidden="false" customHeight="true" outlineLevel="0" collapsed="false">
      <c r="Q92" s="34" t="str">
        <f aca="false">IF(A92="","",IF(K92="Y",0,(E92*Rubric!$B$5+F92*Rubric!$B$6+G92*Rubric!$B$7+H92*Rubric!$B$8+N(I92)*Rubric!$B$9+J92*Rubric!$B$10)/(Rubric!$B$5+Rubric!$B$6+Rubric!$B$7+Rubric!$B$8+IF(I92="",0,Rubric!$B$9)+Rubric!$B$10)))</f>
        <v/>
      </c>
      <c r="R92" s="0" t="str">
        <f aca="false">IF(A92="","",IF(K92="Y",0,ROUND((Q92-1)/4*100,0)))</f>
        <v/>
      </c>
      <c r="S92" s="0" t="str">
        <f aca="false">IF(A92="","",IF(K92="Y","Hard fail",IF(Q92&gt;=Rubric!$B$14,"Pass","Fail")))</f>
        <v/>
      </c>
    </row>
    <row r="93" customFormat="false" ht="15" hidden="false" customHeight="true" outlineLevel="0" collapsed="false">
      <c r="Q93" s="34" t="str">
        <f aca="false">IF(A93="","",IF(K93="Y",0,(E93*Rubric!$B$5+F93*Rubric!$B$6+G93*Rubric!$B$7+H93*Rubric!$B$8+N(I93)*Rubric!$B$9+J93*Rubric!$B$10)/(Rubric!$B$5+Rubric!$B$6+Rubric!$B$7+Rubric!$B$8+IF(I93="",0,Rubric!$B$9)+Rubric!$B$10)))</f>
        <v/>
      </c>
      <c r="R93" s="0" t="str">
        <f aca="false">IF(A93="","",IF(K93="Y",0,ROUND((Q93-1)/4*100,0)))</f>
        <v/>
      </c>
      <c r="S93" s="0" t="str">
        <f aca="false">IF(A93="","",IF(K93="Y","Hard fail",IF(Q93&gt;=Rubric!$B$14,"Pass","Fail")))</f>
        <v/>
      </c>
    </row>
    <row r="94" customFormat="false" ht="15" hidden="false" customHeight="true" outlineLevel="0" collapsed="false">
      <c r="Q94" s="34" t="str">
        <f aca="false">IF(A94="","",IF(K94="Y",0,(E94*Rubric!$B$5+F94*Rubric!$B$6+G94*Rubric!$B$7+H94*Rubric!$B$8+N(I94)*Rubric!$B$9+J94*Rubric!$B$10)/(Rubric!$B$5+Rubric!$B$6+Rubric!$B$7+Rubric!$B$8+IF(I94="",0,Rubric!$B$9)+Rubric!$B$10)))</f>
        <v/>
      </c>
      <c r="R94" s="0" t="str">
        <f aca="false">IF(A94="","",IF(K94="Y",0,ROUND((Q94-1)/4*100,0)))</f>
        <v/>
      </c>
      <c r="S94" s="0" t="str">
        <f aca="false">IF(A94="","",IF(K94="Y","Hard fail",IF(Q94&gt;=Rubric!$B$14,"Pass","Fail")))</f>
        <v/>
      </c>
    </row>
    <row r="95" customFormat="false" ht="15" hidden="false" customHeight="true" outlineLevel="0" collapsed="false">
      <c r="Q95" s="34" t="str">
        <f aca="false">IF(A95="","",IF(K95="Y",0,(E95*Rubric!$B$5+F95*Rubric!$B$6+G95*Rubric!$B$7+H95*Rubric!$B$8+N(I95)*Rubric!$B$9+J95*Rubric!$B$10)/(Rubric!$B$5+Rubric!$B$6+Rubric!$B$7+Rubric!$B$8+IF(I95="",0,Rubric!$B$9)+Rubric!$B$10)))</f>
        <v/>
      </c>
      <c r="R95" s="0" t="str">
        <f aca="false">IF(A95="","",IF(K95="Y",0,ROUND((Q95-1)/4*100,0)))</f>
        <v/>
      </c>
      <c r="S95" s="0" t="str">
        <f aca="false">IF(A95="","",IF(K95="Y","Hard fail",IF(Q95&gt;=Rubric!$B$14,"Pass","Fail")))</f>
        <v/>
      </c>
    </row>
    <row r="96" customFormat="false" ht="15" hidden="false" customHeight="true" outlineLevel="0" collapsed="false">
      <c r="Q96" s="34" t="str">
        <f aca="false">IF(A96="","",IF(K96="Y",0,(E96*Rubric!$B$5+F96*Rubric!$B$6+G96*Rubric!$B$7+H96*Rubric!$B$8+N(I96)*Rubric!$B$9+J96*Rubric!$B$10)/(Rubric!$B$5+Rubric!$B$6+Rubric!$B$7+Rubric!$B$8+IF(I96="",0,Rubric!$B$9)+Rubric!$B$10)))</f>
        <v/>
      </c>
      <c r="R96" s="0" t="str">
        <f aca="false">IF(A96="","",IF(K96="Y",0,ROUND((Q96-1)/4*100,0)))</f>
        <v/>
      </c>
      <c r="S96" s="0" t="str">
        <f aca="false">IF(A96="","",IF(K96="Y","Hard fail",IF(Q96&gt;=Rubric!$B$14,"Pass","Fail")))</f>
        <v/>
      </c>
    </row>
    <row r="97" customFormat="false" ht="15" hidden="false" customHeight="true" outlineLevel="0" collapsed="false">
      <c r="Q97" s="34" t="str">
        <f aca="false">IF(A97="","",IF(K97="Y",0,(E97*Rubric!$B$5+F97*Rubric!$B$6+G97*Rubric!$B$7+H97*Rubric!$B$8+N(I97)*Rubric!$B$9+J97*Rubric!$B$10)/(Rubric!$B$5+Rubric!$B$6+Rubric!$B$7+Rubric!$B$8+IF(I97="",0,Rubric!$B$9)+Rubric!$B$10)))</f>
        <v/>
      </c>
      <c r="R97" s="0" t="str">
        <f aca="false">IF(A97="","",IF(K97="Y",0,ROUND((Q97-1)/4*100,0)))</f>
        <v/>
      </c>
      <c r="S97" s="0" t="str">
        <f aca="false">IF(A97="","",IF(K97="Y","Hard fail",IF(Q97&gt;=Rubric!$B$14,"Pass","Fail")))</f>
        <v/>
      </c>
    </row>
    <row r="98" customFormat="false" ht="15" hidden="false" customHeight="true" outlineLevel="0" collapsed="false">
      <c r="Q98" s="34" t="str">
        <f aca="false">IF(A98="","",IF(K98="Y",0,(E98*Rubric!$B$5+F98*Rubric!$B$6+G98*Rubric!$B$7+H98*Rubric!$B$8+N(I98)*Rubric!$B$9+J98*Rubric!$B$10)/(Rubric!$B$5+Rubric!$B$6+Rubric!$B$7+Rubric!$B$8+IF(I98="",0,Rubric!$B$9)+Rubric!$B$10)))</f>
        <v/>
      </c>
      <c r="R98" s="0" t="str">
        <f aca="false">IF(A98="","",IF(K98="Y",0,ROUND((Q98-1)/4*100,0)))</f>
        <v/>
      </c>
      <c r="S98" s="0" t="str">
        <f aca="false">IF(A98="","",IF(K98="Y","Hard fail",IF(Q98&gt;=Rubric!$B$14,"Pass","Fail")))</f>
        <v/>
      </c>
    </row>
    <row r="99" customFormat="false" ht="15" hidden="false" customHeight="true" outlineLevel="0" collapsed="false">
      <c r="Q99" s="34" t="str">
        <f aca="false">IF(A99="","",IF(K99="Y",0,(E99*Rubric!$B$5+F99*Rubric!$B$6+G99*Rubric!$B$7+H99*Rubric!$B$8+N(I99)*Rubric!$B$9+J99*Rubric!$B$10)/(Rubric!$B$5+Rubric!$B$6+Rubric!$B$7+Rubric!$B$8+IF(I99="",0,Rubric!$B$9)+Rubric!$B$10)))</f>
        <v/>
      </c>
      <c r="R99" s="0" t="str">
        <f aca="false">IF(A99="","",IF(K99="Y",0,ROUND((Q99-1)/4*100,0)))</f>
        <v/>
      </c>
      <c r="S99" s="0" t="str">
        <f aca="false">IF(A99="","",IF(K99="Y","Hard fail",IF(Q99&gt;=Rubric!$B$14,"Pass","Fail")))</f>
        <v/>
      </c>
    </row>
    <row r="100" customFormat="false" ht="15" hidden="false" customHeight="true" outlineLevel="0" collapsed="false">
      <c r="Q100" s="34" t="str">
        <f aca="false">IF(A100="","",IF(K100="Y",0,(E100*Rubric!$B$5+F100*Rubric!$B$6+G100*Rubric!$B$7+H100*Rubric!$B$8+N(I100)*Rubric!$B$9+J100*Rubric!$B$10)/(Rubric!$B$5+Rubric!$B$6+Rubric!$B$7+Rubric!$B$8+IF(I100="",0,Rubric!$B$9)+Rubric!$B$10)))</f>
        <v/>
      </c>
      <c r="R100" s="0" t="str">
        <f aca="false">IF(A100="","",IF(K100="Y",0,ROUND((Q100-1)/4*100,0)))</f>
        <v/>
      </c>
      <c r="S100" s="0" t="str">
        <f aca="false">IF(A100="","",IF(K100="Y","Hard fail",IF(Q100&gt;=Rubric!$B$14,"Pass","Fail")))</f>
        <v/>
      </c>
    </row>
    <row r="101" customFormat="false" ht="15" hidden="false" customHeight="true" outlineLevel="0" collapsed="false">
      <c r="Q101" s="34" t="str">
        <f aca="false">IF(A101="","",IF(K101="Y",0,(E101*Rubric!$B$5+F101*Rubric!$B$6+G101*Rubric!$B$7+H101*Rubric!$B$8+N(I101)*Rubric!$B$9+J101*Rubric!$B$10)/(Rubric!$B$5+Rubric!$B$6+Rubric!$B$7+Rubric!$B$8+IF(I101="",0,Rubric!$B$9)+Rubric!$B$10)))</f>
        <v/>
      </c>
      <c r="R101" s="0" t="str">
        <f aca="false">IF(A101="","",IF(K101="Y",0,ROUND((Q101-1)/4*100,0)))</f>
        <v/>
      </c>
      <c r="S101" s="0" t="str">
        <f aca="false">IF(A101="","",IF(K101="Y","Hard fail",IF(Q101&gt;=Rubric!$B$14,"Pass","Fail")))</f>
        <v/>
      </c>
    </row>
    <row r="102" customFormat="false" ht="15" hidden="false" customHeight="true" outlineLevel="0" collapsed="false">
      <c r="Q102" s="34" t="str">
        <f aca="false">IF(A102="","",IF(K102="Y",0,(E102*Rubric!$B$5+F102*Rubric!$B$6+G102*Rubric!$B$7+H102*Rubric!$B$8+N(I102)*Rubric!$B$9+J102*Rubric!$B$10)/(Rubric!$B$5+Rubric!$B$6+Rubric!$B$7+Rubric!$B$8+IF(I102="",0,Rubric!$B$9)+Rubric!$B$10)))</f>
        <v/>
      </c>
      <c r="R102" s="0" t="str">
        <f aca="false">IF(A102="","",IF(K102="Y",0,ROUND((Q102-1)/4*100,0)))</f>
        <v/>
      </c>
      <c r="S102" s="0" t="str">
        <f aca="false">IF(A102="","",IF(K102="Y","Hard fail",IF(Q102&gt;=Rubric!$B$14,"Pass","Fail")))</f>
        <v/>
      </c>
    </row>
    <row r="103" customFormat="false" ht="15" hidden="false" customHeight="true" outlineLevel="0" collapsed="false">
      <c r="Q103" s="34" t="str">
        <f aca="false">IF(A103="","",IF(K103="Y",0,(E103*Rubric!$B$5+F103*Rubric!$B$6+G103*Rubric!$B$7+H103*Rubric!$B$8+N(I103)*Rubric!$B$9+J103*Rubric!$B$10)/(Rubric!$B$5+Rubric!$B$6+Rubric!$B$7+Rubric!$B$8+IF(I103="",0,Rubric!$B$9)+Rubric!$B$10)))</f>
        <v/>
      </c>
      <c r="R103" s="0" t="str">
        <f aca="false">IF(A103="","",IF(K103="Y",0,ROUND((Q103-1)/4*100,0)))</f>
        <v/>
      </c>
      <c r="S103" s="0" t="str">
        <f aca="false">IF(A103="","",IF(K103="Y","Hard fail",IF(Q103&gt;=Rubric!$B$14,"Pass","Fail")))</f>
        <v/>
      </c>
    </row>
    <row r="104" customFormat="false" ht="15" hidden="false" customHeight="true" outlineLevel="0" collapsed="false">
      <c r="Q104" s="34" t="str">
        <f aca="false">IF(A104="","",IF(K104="Y",0,(E104*Rubric!$B$5+F104*Rubric!$B$6+G104*Rubric!$B$7+H104*Rubric!$B$8+N(I104)*Rubric!$B$9+J104*Rubric!$B$10)/(Rubric!$B$5+Rubric!$B$6+Rubric!$B$7+Rubric!$B$8+IF(I104="",0,Rubric!$B$9)+Rubric!$B$10)))</f>
        <v/>
      </c>
      <c r="R104" s="0" t="str">
        <f aca="false">IF(A104="","",IF(K104="Y",0,ROUND((Q104-1)/4*100,0)))</f>
        <v/>
      </c>
      <c r="S104" s="0" t="str">
        <f aca="false">IF(A104="","",IF(K104="Y","Hard fail",IF(Q104&gt;=Rubric!$B$14,"Pass","Fail")))</f>
        <v/>
      </c>
    </row>
  </sheetData>
  <conditionalFormatting sqref="E5:J104">
    <cfRule type="colorScale" priority="2">
      <colorScale>
        <cfvo type="num" val="1"/>
        <cfvo type="num" val="3"/>
        <cfvo type="num" val="5"/>
        <color rgb="FFF8D0CC"/>
        <color rgb="FFFFF7D6"/>
        <color rgb="FFD6F0DD"/>
      </colorScale>
    </cfRule>
  </conditionalFormatting>
  <conditionalFormatting sqref="S5:S104">
    <cfRule type="cellIs" priority="3" operator="equal" aboveAverage="0" equalAverage="0" bottom="0" percent="0" rank="0" text="" dxfId="1">
      <formula>"Pass"</formula>
    </cfRule>
    <cfRule type="cellIs" priority="4" operator="equal" aboveAverage="0" equalAverage="0" bottom="0" percent="0" rank="0" text="" dxfId="2">
      <formula>"Fail"</formula>
    </cfRule>
    <cfRule type="cellIs" priority="5" operator="equal" aboveAverage="0" equalAverage="0" bottom="0" percent="0" rank="0" text="" dxfId="3">
      <formula>"Hard fail"</formula>
    </cfRule>
  </conditionalFormatting>
  <dataValidations count="5">
    <dataValidation allowBlank="true" errorStyle="stop" operator="between" showDropDown="false" showErrorMessage="false" showInputMessage="false" sqref="B5:B104" type="list">
      <formula1>Lists!$D$5:$D$6</formula1>
      <formula2>0</formula2>
    </dataValidation>
    <dataValidation allowBlank="true" errorStyle="stop" operator="between" showDropDown="false" showErrorMessage="false" showInputMessage="false" sqref="D5:D104" type="list">
      <formula1>Lists!$E$5:$E$6</formula1>
      <formula2>0</formula2>
    </dataValidation>
    <dataValidation allowBlank="true" errorStyle="stop" operator="between" showDropDown="false" showErrorMessage="false" showInputMessage="false" sqref="K5:K104" type="list">
      <formula1>Lists!$E$5:$E$6</formula1>
      <formula2>0</formula2>
    </dataValidation>
    <dataValidation allowBlank="true" errorStyle="stop" operator="between" showDropDown="false" showErrorMessage="false" showInputMessage="false" sqref="E5:J104" type="list">
      <formula1>Lists!$F$5:$F$9</formula1>
      <formula2>0</formula2>
    </dataValidation>
    <dataValidation allowBlank="true" errorStyle="stop" operator="between" showDropDown="false" showErrorMessage="false" showInputMessage="false" sqref="L5:N104" type="list">
      <formula1>Lists!$A$5:$A$16</formula1>
      <formula2>0</formula2>
    </dataValidation>
  </dataValidations>
  <printOptions headings="false" gridLines="false" gridLinesSet="true" horizontalCentered="true" verticalCentered="false"/>
  <pageMargins left="0.4" right="0.4" top="0.5" bottom="0.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A7F8E"/>
    <pageSetUpPr fitToPage="true"/>
  </sheetPr>
  <dimension ref="A1:G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"/>
    <col collapsed="false" customWidth="true" hidden="false" outlineLevel="0" max="2" min="2" style="0" width="56"/>
    <col collapsed="false" customWidth="true" hidden="false" outlineLevel="0" max="4" min="3" style="0" width="10"/>
    <col collapsed="false" customWidth="true" hidden="false" outlineLevel="0" max="5" min="5" style="0" width="9"/>
    <col collapsed="false" customWidth="true" hidden="false" outlineLevel="0" max="6" min="6" style="0" width="10"/>
    <col collapsed="false" customWidth="true" hidden="false" outlineLevel="0" max="7" min="7" style="0" width="7"/>
  </cols>
  <sheetData>
    <row r="1" customFormat="false" ht="19.7" hidden="false" customHeight="false" outlineLevel="0" collapsed="false">
      <c r="A1" s="9" t="s">
        <v>198</v>
      </c>
    </row>
    <row r="2" customFormat="false" ht="15" hidden="false" customHeight="false" outlineLevel="0" collapsed="false">
      <c r="A2" s="2" t="s">
        <v>199</v>
      </c>
    </row>
    <row r="4" customFormat="false" ht="30" hidden="false" customHeight="true" outlineLevel="0" collapsed="false">
      <c r="A4" s="16" t="s">
        <v>70</v>
      </c>
      <c r="B4" s="16" t="s">
        <v>71</v>
      </c>
      <c r="C4" s="16" t="s">
        <v>55</v>
      </c>
      <c r="D4" s="16" t="s">
        <v>56</v>
      </c>
      <c r="E4" s="16" t="s">
        <v>200</v>
      </c>
      <c r="F4" s="16" t="s">
        <v>201</v>
      </c>
      <c r="G4" s="16" t="s">
        <v>202</v>
      </c>
    </row>
    <row r="5" customFormat="false" ht="15" hidden="false" customHeight="false" outlineLevel="0" collapsed="false">
      <c r="A5" s="17" t="s">
        <v>102</v>
      </c>
      <c r="B5" s="7" t="s">
        <v>103</v>
      </c>
      <c r="C5" s="20" t="n">
        <f aca="false">COUNTIFS(Clip_Log!$B$5:$B$104,"Model A",Clip_Log!$L$5:$L$104,A5)+COUNTIFS(Clip_Log!$B$5:$B$104,"Model A",Clip_Log!$M$5:$M$104,A5)+COUNTIFS(Clip_Log!$B$5:$B$104,"Model A",Clip_Log!$N$5:$N$104,A5)</f>
        <v>1</v>
      </c>
      <c r="D5" s="20" t="n">
        <f aca="false">COUNTIFS(Clip_Log!$B$5:$B$104,"Model B",Clip_Log!$L$5:$L$104,A5)+COUNTIFS(Clip_Log!$B$5:$B$104,"Model B",Clip_Log!$M$5:$M$104,A5)+COUNTIFS(Clip_Log!$B$5:$B$104,"Model B",Clip_Log!$N$5:$N$104,A5)</f>
        <v>4</v>
      </c>
      <c r="E5" s="20" t="n">
        <f aca="false">C5+D5</f>
        <v>5</v>
      </c>
      <c r="F5" s="21" t="n">
        <f aca="false">IFERROR(E5/COUNTA(Clip_Log!$A$5:$A$104),0)</f>
        <v>0.25</v>
      </c>
      <c r="G5" s="20" t="n">
        <f aca="false">RANK(E5,$E$5:$E$16)+COUNTIF($E$5:E5,E5)-1</f>
        <v>3</v>
      </c>
    </row>
    <row r="6" customFormat="false" ht="15" hidden="false" customHeight="false" outlineLevel="0" collapsed="false">
      <c r="A6" s="17" t="s">
        <v>104</v>
      </c>
      <c r="B6" s="7" t="s">
        <v>105</v>
      </c>
      <c r="C6" s="20" t="n">
        <f aca="false">COUNTIFS(Clip_Log!$B$5:$B$104,"Model A",Clip_Log!$L$5:$L$104,A6)+COUNTIFS(Clip_Log!$B$5:$B$104,"Model A",Clip_Log!$M$5:$M$104,A6)+COUNTIFS(Clip_Log!$B$5:$B$104,"Model A",Clip_Log!$N$5:$N$104,A6)</f>
        <v>4</v>
      </c>
      <c r="D6" s="20" t="n">
        <f aca="false">COUNTIFS(Clip_Log!$B$5:$B$104,"Model B",Clip_Log!$L$5:$L$104,A6)+COUNTIFS(Clip_Log!$B$5:$B$104,"Model B",Clip_Log!$M$5:$M$104,A6)+COUNTIFS(Clip_Log!$B$5:$B$104,"Model B",Clip_Log!$N$5:$N$104,A6)</f>
        <v>4</v>
      </c>
      <c r="E6" s="20" t="n">
        <f aca="false">C6+D6</f>
        <v>8</v>
      </c>
      <c r="F6" s="21" t="n">
        <f aca="false">IFERROR(E6/COUNTA(Clip_Log!$A$5:$A$104),0)</f>
        <v>0.4</v>
      </c>
      <c r="G6" s="20" t="n">
        <f aca="false">RANK(E6,$E$5:$E$16)+COUNTIF($E$5:E6,E6)-1</f>
        <v>2</v>
      </c>
    </row>
    <row r="7" customFormat="false" ht="15" hidden="false" customHeight="false" outlineLevel="0" collapsed="false">
      <c r="A7" s="17" t="s">
        <v>106</v>
      </c>
      <c r="B7" s="7" t="s">
        <v>107</v>
      </c>
      <c r="C7" s="20" t="n">
        <f aca="false">COUNTIFS(Clip_Log!$B$5:$B$104,"Model A",Clip_Log!$L$5:$L$104,A7)+COUNTIFS(Clip_Log!$B$5:$B$104,"Model A",Clip_Log!$M$5:$M$104,A7)+COUNTIFS(Clip_Log!$B$5:$B$104,"Model A",Clip_Log!$N$5:$N$104,A7)</f>
        <v>6</v>
      </c>
      <c r="D7" s="20" t="n">
        <f aca="false">COUNTIFS(Clip_Log!$B$5:$B$104,"Model B",Clip_Log!$L$5:$L$104,A7)+COUNTIFS(Clip_Log!$B$5:$B$104,"Model B",Clip_Log!$M$5:$M$104,A7)+COUNTIFS(Clip_Log!$B$5:$B$104,"Model B",Clip_Log!$N$5:$N$104,A7)</f>
        <v>7</v>
      </c>
      <c r="E7" s="20" t="n">
        <f aca="false">C7+D7</f>
        <v>13</v>
      </c>
      <c r="F7" s="21" t="n">
        <f aca="false">IFERROR(E7/COUNTA(Clip_Log!$A$5:$A$104),0)</f>
        <v>0.65</v>
      </c>
      <c r="G7" s="20" t="n">
        <f aca="false">RANK(E7,$E$5:$E$16)+COUNTIF($E$5:E7,E7)-1</f>
        <v>1</v>
      </c>
    </row>
    <row r="8" customFormat="false" ht="15" hidden="false" customHeight="false" outlineLevel="0" collapsed="false">
      <c r="A8" s="17" t="s">
        <v>108</v>
      </c>
      <c r="B8" s="7" t="s">
        <v>109</v>
      </c>
      <c r="C8" s="20" t="n">
        <f aca="false">COUNTIFS(Clip_Log!$B$5:$B$104,"Model A",Clip_Log!$L$5:$L$104,A8)+COUNTIFS(Clip_Log!$B$5:$B$104,"Model A",Clip_Log!$M$5:$M$104,A8)+COUNTIFS(Clip_Log!$B$5:$B$104,"Model A",Clip_Log!$N$5:$N$104,A8)</f>
        <v>0</v>
      </c>
      <c r="D8" s="20" t="n">
        <f aca="false">COUNTIFS(Clip_Log!$B$5:$B$104,"Model B",Clip_Log!$L$5:$L$104,A8)+COUNTIFS(Clip_Log!$B$5:$B$104,"Model B",Clip_Log!$M$5:$M$104,A8)+COUNTIFS(Clip_Log!$B$5:$B$104,"Model B",Clip_Log!$N$5:$N$104,A8)</f>
        <v>0</v>
      </c>
      <c r="E8" s="20" t="n">
        <f aca="false">C8+D8</f>
        <v>0</v>
      </c>
      <c r="F8" s="21" t="n">
        <f aca="false">IFERROR(E8/COUNTA(Clip_Log!$A$5:$A$104),0)</f>
        <v>0</v>
      </c>
      <c r="G8" s="20" t="n">
        <f aca="false">RANK(E8,$E$5:$E$16)+COUNTIF($E$5:E8,E8)-1</f>
        <v>9</v>
      </c>
    </row>
    <row r="9" customFormat="false" ht="15" hidden="false" customHeight="false" outlineLevel="0" collapsed="false">
      <c r="A9" s="17" t="s">
        <v>110</v>
      </c>
      <c r="B9" s="7" t="s">
        <v>111</v>
      </c>
      <c r="C9" s="20" t="n">
        <f aca="false">COUNTIFS(Clip_Log!$B$5:$B$104,"Model A",Clip_Log!$L$5:$L$104,A9)+COUNTIFS(Clip_Log!$B$5:$B$104,"Model A",Clip_Log!$M$5:$M$104,A9)+COUNTIFS(Clip_Log!$B$5:$B$104,"Model A",Clip_Log!$N$5:$N$104,A9)</f>
        <v>0</v>
      </c>
      <c r="D9" s="20" t="n">
        <f aca="false">COUNTIFS(Clip_Log!$B$5:$B$104,"Model B",Clip_Log!$L$5:$L$104,A9)+COUNTIFS(Clip_Log!$B$5:$B$104,"Model B",Clip_Log!$M$5:$M$104,A9)+COUNTIFS(Clip_Log!$B$5:$B$104,"Model B",Clip_Log!$N$5:$N$104,A9)</f>
        <v>2</v>
      </c>
      <c r="E9" s="20" t="n">
        <f aca="false">C9+D9</f>
        <v>2</v>
      </c>
      <c r="F9" s="21" t="n">
        <f aca="false">IFERROR(E9/COUNTA(Clip_Log!$A$5:$A$104),0)</f>
        <v>0.1</v>
      </c>
      <c r="G9" s="20" t="n">
        <f aca="false">RANK(E9,$E$5:$E$16)+COUNTIF($E$5:E9,E9)-1</f>
        <v>5</v>
      </c>
    </row>
    <row r="10" customFormat="false" ht="15" hidden="false" customHeight="false" outlineLevel="0" collapsed="false">
      <c r="A10" s="17" t="s">
        <v>112</v>
      </c>
      <c r="B10" s="7" t="s">
        <v>113</v>
      </c>
      <c r="C10" s="20" t="n">
        <f aca="false">COUNTIFS(Clip_Log!$B$5:$B$104,"Model A",Clip_Log!$L$5:$L$104,A10)+COUNTIFS(Clip_Log!$B$5:$B$104,"Model A",Clip_Log!$M$5:$M$104,A10)+COUNTIFS(Clip_Log!$B$5:$B$104,"Model A",Clip_Log!$N$5:$N$104,A10)</f>
        <v>0</v>
      </c>
      <c r="D10" s="20" t="n">
        <f aca="false">COUNTIFS(Clip_Log!$B$5:$B$104,"Model B",Clip_Log!$L$5:$L$104,A10)+COUNTIFS(Clip_Log!$B$5:$B$104,"Model B",Clip_Log!$M$5:$M$104,A10)+COUNTIFS(Clip_Log!$B$5:$B$104,"Model B",Clip_Log!$N$5:$N$104,A10)</f>
        <v>0</v>
      </c>
      <c r="E10" s="20" t="n">
        <f aca="false">C10+D10</f>
        <v>0</v>
      </c>
      <c r="F10" s="21" t="n">
        <f aca="false">IFERROR(E10/COUNTA(Clip_Log!$A$5:$A$104),0)</f>
        <v>0</v>
      </c>
      <c r="G10" s="20" t="n">
        <f aca="false">RANK(E10,$E$5:$E$16)+COUNTIF($E$5:E10,E10)-1</f>
        <v>10</v>
      </c>
    </row>
    <row r="11" customFormat="false" ht="15" hidden="false" customHeight="false" outlineLevel="0" collapsed="false">
      <c r="A11" s="17" t="s">
        <v>114</v>
      </c>
      <c r="B11" s="7" t="s">
        <v>115</v>
      </c>
      <c r="C11" s="20" t="n">
        <f aca="false">COUNTIFS(Clip_Log!$B$5:$B$104,"Model A",Clip_Log!$L$5:$L$104,A11)+COUNTIFS(Clip_Log!$B$5:$B$104,"Model A",Clip_Log!$M$5:$M$104,A11)+COUNTIFS(Clip_Log!$B$5:$B$104,"Model A",Clip_Log!$N$5:$N$104,A11)</f>
        <v>0</v>
      </c>
      <c r="D11" s="20" t="n">
        <f aca="false">COUNTIFS(Clip_Log!$B$5:$B$104,"Model B",Clip_Log!$L$5:$L$104,A11)+COUNTIFS(Clip_Log!$B$5:$B$104,"Model B",Clip_Log!$M$5:$M$104,A11)+COUNTIFS(Clip_Log!$B$5:$B$104,"Model B",Clip_Log!$N$5:$N$104,A11)</f>
        <v>1</v>
      </c>
      <c r="E11" s="20" t="n">
        <f aca="false">C11+D11</f>
        <v>1</v>
      </c>
      <c r="F11" s="21" t="n">
        <f aca="false">IFERROR(E11/COUNTA(Clip_Log!$A$5:$A$104),0)</f>
        <v>0.05</v>
      </c>
      <c r="G11" s="20" t="n">
        <f aca="false">RANK(E11,$E$5:$E$16)+COUNTIF($E$5:E11,E11)-1</f>
        <v>6</v>
      </c>
    </row>
    <row r="12" customFormat="false" ht="15" hidden="false" customHeight="false" outlineLevel="0" collapsed="false">
      <c r="A12" s="17" t="s">
        <v>116</v>
      </c>
      <c r="B12" s="7" t="s">
        <v>117</v>
      </c>
      <c r="C12" s="20" t="n">
        <f aca="false">COUNTIFS(Clip_Log!$B$5:$B$104,"Model A",Clip_Log!$L$5:$L$104,A12)+COUNTIFS(Clip_Log!$B$5:$B$104,"Model A",Clip_Log!$M$5:$M$104,A12)+COUNTIFS(Clip_Log!$B$5:$B$104,"Model A",Clip_Log!$N$5:$N$104,A12)</f>
        <v>0</v>
      </c>
      <c r="D12" s="20" t="n">
        <f aca="false">COUNTIFS(Clip_Log!$B$5:$B$104,"Model B",Clip_Log!$L$5:$L$104,A12)+COUNTIFS(Clip_Log!$B$5:$B$104,"Model B",Clip_Log!$M$5:$M$104,A12)+COUNTIFS(Clip_Log!$B$5:$B$104,"Model B",Clip_Log!$N$5:$N$104,A12)</f>
        <v>0</v>
      </c>
      <c r="E12" s="20" t="n">
        <f aca="false">C12+D12</f>
        <v>0</v>
      </c>
      <c r="F12" s="21" t="n">
        <f aca="false">IFERROR(E12/COUNTA(Clip_Log!$A$5:$A$104),0)</f>
        <v>0</v>
      </c>
      <c r="G12" s="20" t="n">
        <f aca="false">RANK(E12,$E$5:$E$16)+COUNTIF($E$5:E12,E12)-1</f>
        <v>11</v>
      </c>
    </row>
    <row r="13" customFormat="false" ht="15" hidden="false" customHeight="false" outlineLevel="0" collapsed="false">
      <c r="A13" s="17" t="s">
        <v>118</v>
      </c>
      <c r="B13" s="7" t="s">
        <v>119</v>
      </c>
      <c r="C13" s="20" t="n">
        <f aca="false">COUNTIFS(Clip_Log!$B$5:$B$104,"Model A",Clip_Log!$L$5:$L$104,A13)+COUNTIFS(Clip_Log!$B$5:$B$104,"Model A",Clip_Log!$M$5:$M$104,A13)+COUNTIFS(Clip_Log!$B$5:$B$104,"Model A",Clip_Log!$N$5:$N$104,A13)</f>
        <v>0</v>
      </c>
      <c r="D13" s="20" t="n">
        <f aca="false">COUNTIFS(Clip_Log!$B$5:$B$104,"Model B",Clip_Log!$L$5:$L$104,A13)+COUNTIFS(Clip_Log!$B$5:$B$104,"Model B",Clip_Log!$M$5:$M$104,A13)+COUNTIFS(Clip_Log!$B$5:$B$104,"Model B",Clip_Log!$N$5:$N$104,A13)</f>
        <v>1</v>
      </c>
      <c r="E13" s="20" t="n">
        <f aca="false">C13+D13</f>
        <v>1</v>
      </c>
      <c r="F13" s="21" t="n">
        <f aca="false">IFERROR(E13/COUNTA(Clip_Log!$A$5:$A$104),0)</f>
        <v>0.05</v>
      </c>
      <c r="G13" s="20" t="n">
        <f aca="false">RANK(E13,$E$5:$E$16)+COUNTIF($E$5:E13,E13)-1</f>
        <v>7</v>
      </c>
    </row>
    <row r="14" customFormat="false" ht="15" hidden="false" customHeight="false" outlineLevel="0" collapsed="false">
      <c r="A14" s="17" t="s">
        <v>120</v>
      </c>
      <c r="B14" s="7" t="s">
        <v>121</v>
      </c>
      <c r="C14" s="20" t="n">
        <f aca="false">COUNTIFS(Clip_Log!$B$5:$B$104,"Model A",Clip_Log!$L$5:$L$104,A14)+COUNTIFS(Clip_Log!$B$5:$B$104,"Model A",Clip_Log!$M$5:$M$104,A14)+COUNTIFS(Clip_Log!$B$5:$B$104,"Model A",Clip_Log!$N$5:$N$104,A14)</f>
        <v>0</v>
      </c>
      <c r="D14" s="20" t="n">
        <f aca="false">COUNTIFS(Clip_Log!$B$5:$B$104,"Model B",Clip_Log!$L$5:$L$104,A14)+COUNTIFS(Clip_Log!$B$5:$B$104,"Model B",Clip_Log!$M$5:$M$104,A14)+COUNTIFS(Clip_Log!$B$5:$B$104,"Model B",Clip_Log!$N$5:$N$104,A14)</f>
        <v>1</v>
      </c>
      <c r="E14" s="20" t="n">
        <f aca="false">C14+D14</f>
        <v>1</v>
      </c>
      <c r="F14" s="21" t="n">
        <f aca="false">IFERROR(E14/COUNTA(Clip_Log!$A$5:$A$104),0)</f>
        <v>0.05</v>
      </c>
      <c r="G14" s="20" t="n">
        <f aca="false">RANK(E14,$E$5:$E$16)+COUNTIF($E$5:E14,E14)-1</f>
        <v>8</v>
      </c>
    </row>
    <row r="15" customFormat="false" ht="15" hidden="false" customHeight="false" outlineLevel="0" collapsed="false">
      <c r="A15" s="17" t="s">
        <v>122</v>
      </c>
      <c r="B15" s="7" t="s">
        <v>123</v>
      </c>
      <c r="C15" s="20" t="n">
        <f aca="false">COUNTIFS(Clip_Log!$B$5:$B$104,"Model A",Clip_Log!$L$5:$L$104,A15)+COUNTIFS(Clip_Log!$B$5:$B$104,"Model A",Clip_Log!$M$5:$M$104,A15)+COUNTIFS(Clip_Log!$B$5:$B$104,"Model A",Clip_Log!$N$5:$N$104,A15)</f>
        <v>1</v>
      </c>
      <c r="D15" s="20" t="n">
        <f aca="false">COUNTIFS(Clip_Log!$B$5:$B$104,"Model B",Clip_Log!$L$5:$L$104,A15)+COUNTIFS(Clip_Log!$B$5:$B$104,"Model B",Clip_Log!$M$5:$M$104,A15)+COUNTIFS(Clip_Log!$B$5:$B$104,"Model B",Clip_Log!$N$5:$N$104,A15)</f>
        <v>2</v>
      </c>
      <c r="E15" s="20" t="n">
        <f aca="false">C15+D15</f>
        <v>3</v>
      </c>
      <c r="F15" s="21" t="n">
        <f aca="false">IFERROR(E15/COUNTA(Clip_Log!$A$5:$A$104),0)</f>
        <v>0.15</v>
      </c>
      <c r="G15" s="20" t="n">
        <f aca="false">RANK(E15,$E$5:$E$16)+COUNTIF($E$5:E15,E15)-1</f>
        <v>4</v>
      </c>
    </row>
    <row r="16" customFormat="false" ht="15" hidden="false" customHeight="false" outlineLevel="0" collapsed="false">
      <c r="A16" s="17" t="s">
        <v>124</v>
      </c>
      <c r="B16" s="7" t="s">
        <v>125</v>
      </c>
      <c r="C16" s="20" t="n">
        <f aca="false">COUNTIFS(Clip_Log!$B$5:$B$104,"Model A",Clip_Log!$L$5:$L$104,A16)+COUNTIFS(Clip_Log!$B$5:$B$104,"Model A",Clip_Log!$M$5:$M$104,A16)+COUNTIFS(Clip_Log!$B$5:$B$104,"Model A",Clip_Log!$N$5:$N$104,A16)</f>
        <v>0</v>
      </c>
      <c r="D16" s="20" t="n">
        <f aca="false">COUNTIFS(Clip_Log!$B$5:$B$104,"Model B",Clip_Log!$L$5:$L$104,A16)+COUNTIFS(Clip_Log!$B$5:$B$104,"Model B",Clip_Log!$M$5:$M$104,A16)+COUNTIFS(Clip_Log!$B$5:$B$104,"Model B",Clip_Log!$N$5:$N$104,A16)</f>
        <v>0</v>
      </c>
      <c r="E16" s="20" t="n">
        <f aca="false">C16+D16</f>
        <v>0</v>
      </c>
      <c r="F16" s="21" t="n">
        <f aca="false">IFERROR(E16/COUNTA(Clip_Log!$A$5:$A$104),0)</f>
        <v>0</v>
      </c>
      <c r="G16" s="20" t="n">
        <f aca="false">RANK(E16,$E$5:$E$16)+COUNTIF($E$5:E16,E16)-1</f>
        <v>12</v>
      </c>
    </row>
  </sheetData>
  <conditionalFormatting sqref="E5:E16">
    <cfRule type="colorScale" priority="2">
      <colorScale>
        <cfvo type="min" val="0"/>
        <cfvo type="max" val="0"/>
        <color rgb="FFFFFFFF"/>
        <color rgb="FFF2B84B"/>
      </colorScale>
    </cfRule>
  </conditionalFormatting>
  <printOptions headings="false" gridLines="false" gridLinesSet="true" horizontalCentered="true" verticalCentered="false"/>
  <pageMargins left="0.4" right="0.4" top="0.5" bottom="0.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A7F8E"/>
    <pageSetUpPr fitToPage="true"/>
  </sheetPr>
  <dimension ref="A1:M6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22"/>
    <col collapsed="false" customWidth="true" hidden="false" outlineLevel="0" max="6" min="3" style="0" width="10"/>
    <col collapsed="false" customWidth="true" hidden="false" outlineLevel="0" max="7" min="7" style="0" width="8"/>
    <col collapsed="false" customWidth="true" hidden="false" outlineLevel="0" max="8" min="8" style="0" width="30"/>
    <col collapsed="false" customWidth="true" hidden="false" outlineLevel="0" max="9" min="9" style="0" width="9"/>
    <col collapsed="false" customWidth="true" hidden="false" outlineLevel="0" max="13" min="10" style="0" width="7"/>
  </cols>
  <sheetData>
    <row r="1" customFormat="false" ht="19.7" hidden="false" customHeight="false" outlineLevel="0" collapsed="false">
      <c r="A1" s="9" t="s">
        <v>203</v>
      </c>
    </row>
    <row r="2" customFormat="false" ht="15" hidden="false" customHeight="false" outlineLevel="0" collapsed="false">
      <c r="A2" s="35" t="s">
        <v>204</v>
      </c>
    </row>
    <row r="3" customFormat="false" ht="15" hidden="false" customHeight="false" outlineLevel="0" collapsed="false">
      <c r="A3" s="22"/>
      <c r="B3" s="23" t="s">
        <v>75</v>
      </c>
    </row>
    <row r="4" customFormat="false" ht="30" hidden="false" customHeight="true" outlineLevel="0" collapsed="false">
      <c r="A4" s="16" t="s">
        <v>127</v>
      </c>
      <c r="B4" s="16" t="s">
        <v>54</v>
      </c>
      <c r="C4" s="16" t="s">
        <v>205</v>
      </c>
      <c r="D4" s="16" t="s">
        <v>206</v>
      </c>
      <c r="E4" s="16" t="s">
        <v>207</v>
      </c>
      <c r="F4" s="16" t="s">
        <v>208</v>
      </c>
      <c r="G4" s="16" t="s">
        <v>209</v>
      </c>
      <c r="H4" s="14" t="s">
        <v>210</v>
      </c>
      <c r="I4" s="15"/>
      <c r="J4" s="15"/>
    </row>
    <row r="5" customFormat="false" ht="15" hidden="false" customHeight="false" outlineLevel="0" collapsed="false">
      <c r="A5" s="17" t="s">
        <v>139</v>
      </c>
      <c r="B5" s="17" t="s">
        <v>59</v>
      </c>
      <c r="C5" s="20" t="n">
        <f aca="false">IFERROR(IF(INDEX(Clip_Log!$E$5:$E$104,MATCH(A5,Clip_Log!$A$5:$A$104,0))="","",INDEX(Clip_Log!$E$5:$E$104,MATCH(A5,Clip_Log!$A$5:$A$104,0))),"")</f>
        <v>4</v>
      </c>
      <c r="D5" s="30" t="n">
        <v>4</v>
      </c>
      <c r="E5" s="20" t="n">
        <f aca="false">IF(OR(C5="",D5=""),"",D5-C5)</f>
        <v>0</v>
      </c>
      <c r="F5" s="20" t="str">
        <f aca="false">IF(E5="","",IF(E5=0,"Exact",IF(ABS(E5)=1,"Within 1","Off by 2+")))</f>
        <v>Exact</v>
      </c>
      <c r="G5" s="20" t="n">
        <f aca="false">IF(E5="","",ABS(E5))</f>
        <v>0</v>
      </c>
      <c r="H5" s="36" t="s">
        <v>211</v>
      </c>
      <c r="I5" s="37" t="n">
        <f aca="false">COUNT($E$5:$E$64)</f>
        <v>56</v>
      </c>
    </row>
    <row r="6" customFormat="false" ht="15" hidden="false" customHeight="false" outlineLevel="0" collapsed="false">
      <c r="A6" s="17" t="s">
        <v>139</v>
      </c>
      <c r="B6" s="17" t="s">
        <v>61</v>
      </c>
      <c r="C6" s="20" t="n">
        <f aca="false">IFERROR(IF(INDEX(Clip_Log!$F$5:$F$104,MATCH(A6,Clip_Log!$A$5:$A$104,0))="","",INDEX(Clip_Log!$F$5:$F$104,MATCH(A6,Clip_Log!$A$5:$A$104,0))),"")</f>
        <v>4</v>
      </c>
      <c r="D6" s="30" t="n">
        <v>4</v>
      </c>
      <c r="E6" s="20" t="n">
        <f aca="false">IF(OR(C6="",D6=""),"",D6-C6)</f>
        <v>0</v>
      </c>
      <c r="F6" s="20" t="str">
        <f aca="false">IF(E6="","",IF(E6=0,"Exact",IF(ABS(E6)=1,"Within 1","Off by 2+")))</f>
        <v>Exact</v>
      </c>
      <c r="G6" s="20" t="n">
        <f aca="false">IF(E6="","",ABS(E6))</f>
        <v>0</v>
      </c>
      <c r="H6" s="36" t="s">
        <v>212</v>
      </c>
      <c r="I6" s="38" t="n">
        <f aca="false">COUNTIF($F$5:$F$64,"Exact")/$I$5</f>
        <v>0.535714285714286</v>
      </c>
    </row>
    <row r="7" customFormat="false" ht="15" hidden="false" customHeight="false" outlineLevel="0" collapsed="false">
      <c r="A7" s="17" t="s">
        <v>139</v>
      </c>
      <c r="B7" s="17" t="s">
        <v>63</v>
      </c>
      <c r="C7" s="20" t="n">
        <f aca="false">IFERROR(IF(INDEX(Clip_Log!$G$5:$G$104,MATCH(A7,Clip_Log!$A$5:$A$104,0))="","",INDEX(Clip_Log!$G$5:$G$104,MATCH(A7,Clip_Log!$A$5:$A$104,0))),"")</f>
        <v>4</v>
      </c>
      <c r="D7" s="30" t="n">
        <v>4</v>
      </c>
      <c r="E7" s="20" t="n">
        <f aca="false">IF(OR(C7="",D7=""),"",D7-C7)</f>
        <v>0</v>
      </c>
      <c r="F7" s="20" t="str">
        <f aca="false">IF(E7="","",IF(E7=0,"Exact",IF(ABS(E7)=1,"Within 1","Off by 2+")))</f>
        <v>Exact</v>
      </c>
      <c r="G7" s="20" t="n">
        <f aca="false">IF(E7="","",ABS(E7))</f>
        <v>0</v>
      </c>
      <c r="H7" s="36" t="s">
        <v>213</v>
      </c>
      <c r="I7" s="38" t="n">
        <f aca="false">(COUNTIF($F$5:$F$64,"Exact")+COUNTIF($F$5:$F$64,"Within 1"))/$I$5</f>
        <v>1</v>
      </c>
    </row>
    <row r="8" customFormat="false" ht="15" hidden="false" customHeight="false" outlineLevel="0" collapsed="false">
      <c r="A8" s="17" t="s">
        <v>139</v>
      </c>
      <c r="B8" s="17" t="s">
        <v>65</v>
      </c>
      <c r="C8" s="20" t="n">
        <f aca="false">IFERROR(IF(INDEX(Clip_Log!$H$5:$H$104,MATCH(A8,Clip_Log!$A$5:$A$104,0))="","",INDEX(Clip_Log!$H$5:$H$104,MATCH(A8,Clip_Log!$A$5:$A$104,0))),"")</f>
        <v>3</v>
      </c>
      <c r="D8" s="30" t="n">
        <v>3</v>
      </c>
      <c r="E8" s="20" t="n">
        <f aca="false">IF(OR(C8="",D8=""),"",D8-C8)</f>
        <v>0</v>
      </c>
      <c r="F8" s="20" t="str">
        <f aca="false">IF(E8="","",IF(E8=0,"Exact",IF(ABS(E8)=1,"Within 1","Off by 2+")))</f>
        <v>Exact</v>
      </c>
      <c r="G8" s="20" t="n">
        <f aca="false">IF(E8="","",ABS(E8))</f>
        <v>0</v>
      </c>
      <c r="H8" s="36" t="s">
        <v>214</v>
      </c>
      <c r="I8" s="39" t="n">
        <f aca="false">AVERAGE($G$5:$G$64)</f>
        <v>0.464285714285714</v>
      </c>
    </row>
    <row r="9" customFormat="false" ht="15" hidden="false" customHeight="false" outlineLevel="0" collapsed="false">
      <c r="A9" s="17" t="s">
        <v>139</v>
      </c>
      <c r="B9" s="17" t="s">
        <v>67</v>
      </c>
      <c r="C9" s="20" t="n">
        <f aca="false">IFERROR(IF(INDEX(Clip_Log!$I$5:$I$104,MATCH(A9,Clip_Log!$A$5:$A$104,0))="","",INDEX(Clip_Log!$I$5:$I$104,MATCH(A9,Clip_Log!$A$5:$A$104,0))),"")</f>
        <v>3</v>
      </c>
      <c r="D9" s="30" t="n">
        <v>2</v>
      </c>
      <c r="E9" s="20" t="n">
        <f aca="false">IF(OR(C9="",D9=""),"",D9-C9)</f>
        <v>-1</v>
      </c>
      <c r="F9" s="20" t="str">
        <f aca="false">IF(E9="","",IF(E9=0,"Exact",IF(ABS(E9)=1,"Within 1","Off by 2+")))</f>
        <v>Within 1</v>
      </c>
      <c r="G9" s="20" t="n">
        <f aca="false">IF(E9="","",ABS(E9))</f>
        <v>1</v>
      </c>
      <c r="H9" s="36" t="s">
        <v>215</v>
      </c>
      <c r="I9" s="39" t="n">
        <f aca="false">1-SUMPRODUCT($I$21:$M$25,$I$37:$M$41)/SUMPRODUCT($I$29:$M$33,$I$37:$M$41)</f>
        <v>0.678303137428193</v>
      </c>
    </row>
    <row r="10" customFormat="false" ht="15" hidden="false" customHeight="false" outlineLevel="0" collapsed="false">
      <c r="A10" s="17" t="s">
        <v>139</v>
      </c>
      <c r="B10" s="17" t="s">
        <v>68</v>
      </c>
      <c r="C10" s="20" t="n">
        <f aca="false">IFERROR(IF(INDEX(Clip_Log!$J$5:$J$104,MATCH(A10,Clip_Log!$A$5:$A$104,0))="","",INDEX(Clip_Log!$J$5:$J$104,MATCH(A10,Clip_Log!$A$5:$A$104,0))),"")</f>
        <v>4</v>
      </c>
      <c r="D10" s="30" t="n">
        <v>3</v>
      </c>
      <c r="E10" s="20" t="n">
        <f aca="false">IF(OR(C10="",D10=""),"",D10-C10)</f>
        <v>-1</v>
      </c>
      <c r="F10" s="20" t="str">
        <f aca="false">IF(E10="","",IF(E10=0,"Exact",IF(ABS(E10)=1,"Within 1","Off by 2+")))</f>
        <v>Within 1</v>
      </c>
      <c r="G10" s="20" t="n">
        <f aca="false">IF(E10="","",ABS(E10))</f>
        <v>1</v>
      </c>
    </row>
    <row r="11" customFormat="false" ht="15" hidden="false" customHeight="false" outlineLevel="0" collapsed="false">
      <c r="A11" s="17" t="s">
        <v>145</v>
      </c>
      <c r="B11" s="17" t="s">
        <v>59</v>
      </c>
      <c r="C11" s="20" t="n">
        <f aca="false">IFERROR(IF(INDEX(Clip_Log!$E$5:$E$104,MATCH(A11,Clip_Log!$A$5:$A$104,0))="","",INDEX(Clip_Log!$E$5:$E$104,MATCH(A11,Clip_Log!$A$5:$A$104,0))),"")</f>
        <v>3</v>
      </c>
      <c r="D11" s="30" t="n">
        <v>3</v>
      </c>
      <c r="E11" s="20" t="n">
        <f aca="false">IF(OR(C11="",D11=""),"",D11-C11)</f>
        <v>0</v>
      </c>
      <c r="F11" s="20" t="str">
        <f aca="false">IF(E11="","",IF(E11=0,"Exact",IF(ABS(E11)=1,"Within 1","Off by 2+")))</f>
        <v>Exact</v>
      </c>
      <c r="G11" s="20" t="n">
        <f aca="false">IF(E11="","",ABS(E11))</f>
        <v>0</v>
      </c>
      <c r="H11" s="40" t="s">
        <v>216</v>
      </c>
    </row>
    <row r="12" customFormat="false" ht="15" hidden="false" customHeight="false" outlineLevel="0" collapsed="false">
      <c r="A12" s="17" t="s">
        <v>145</v>
      </c>
      <c r="B12" s="17" t="s">
        <v>61</v>
      </c>
      <c r="C12" s="20" t="n">
        <f aca="false">IFERROR(IF(INDEX(Clip_Log!$F$5:$F$104,MATCH(A12,Clip_Log!$A$5:$A$104,0))="","",INDEX(Clip_Log!$F$5:$F$104,MATCH(A12,Clip_Log!$A$5:$A$104,0))),"")</f>
        <v>3</v>
      </c>
      <c r="D12" s="30" t="n">
        <v>3</v>
      </c>
      <c r="E12" s="20" t="n">
        <f aca="false">IF(OR(C12="",D12=""),"",D12-C12)</f>
        <v>0</v>
      </c>
      <c r="F12" s="20" t="str">
        <f aca="false">IF(E12="","",IF(E12=0,"Exact",IF(ABS(E12)=1,"Within 1","Off by 2+")))</f>
        <v>Exact</v>
      </c>
      <c r="G12" s="20" t="n">
        <f aca="false">IF(E12="","",ABS(E12))</f>
        <v>0</v>
      </c>
    </row>
    <row r="13" customFormat="false" ht="15" hidden="false" customHeight="false" outlineLevel="0" collapsed="false">
      <c r="A13" s="17" t="s">
        <v>145</v>
      </c>
      <c r="B13" s="17" t="s">
        <v>63</v>
      </c>
      <c r="C13" s="20" t="n">
        <f aca="false">IFERROR(IF(INDEX(Clip_Log!$G$5:$G$104,MATCH(A13,Clip_Log!$A$5:$A$104,0))="","",INDEX(Clip_Log!$G$5:$G$104,MATCH(A13,Clip_Log!$A$5:$A$104,0))),"")</f>
        <v>2</v>
      </c>
      <c r="D13" s="30" t="n">
        <v>2</v>
      </c>
      <c r="E13" s="20" t="n">
        <f aca="false">IF(OR(C13="",D13=""),"",D13-C13)</f>
        <v>0</v>
      </c>
      <c r="F13" s="20" t="str">
        <f aca="false">IF(E13="","",IF(E13=0,"Exact",IF(ABS(E13)=1,"Within 1","Off by 2+")))</f>
        <v>Exact</v>
      </c>
      <c r="G13" s="20" t="n">
        <f aca="false">IF(E13="","",ABS(E13))</f>
        <v>0</v>
      </c>
      <c r="H13" s="14" t="s">
        <v>217</v>
      </c>
      <c r="I13" s="15"/>
      <c r="J13" s="15"/>
    </row>
    <row r="14" customFormat="false" ht="15" hidden="false" customHeight="false" outlineLevel="0" collapsed="false">
      <c r="A14" s="17" t="s">
        <v>145</v>
      </c>
      <c r="B14" s="17" t="s">
        <v>65</v>
      </c>
      <c r="C14" s="20" t="n">
        <f aca="false">IFERROR(IF(INDEX(Clip_Log!$H$5:$H$104,MATCH(A14,Clip_Log!$A$5:$A$104,0))="","",INDEX(Clip_Log!$H$5:$H$104,MATCH(A14,Clip_Log!$A$5:$A$104,0))),"")</f>
        <v>2</v>
      </c>
      <c r="D14" s="30" t="n">
        <v>2</v>
      </c>
      <c r="E14" s="20" t="n">
        <f aca="false">IF(OR(C14="",D14=""),"",D14-C14)</f>
        <v>0</v>
      </c>
      <c r="F14" s="20" t="str">
        <f aca="false">IF(E14="","",IF(E14=0,"Exact",IF(ABS(E14)=1,"Within 1","Off by 2+")))</f>
        <v>Exact</v>
      </c>
      <c r="G14" s="20" t="n">
        <f aca="false">IF(E14="","",ABS(E14))</f>
        <v>0</v>
      </c>
      <c r="H14" s="17" t="s">
        <v>59</v>
      </c>
      <c r="I14" s="41" t="n">
        <f aca="false">IFERROR(AVERAGEIFS($E$5:$E$64,$B$5:$B$64,H14),"")</f>
        <v>-0.1</v>
      </c>
    </row>
    <row r="15" customFormat="false" ht="15" hidden="false" customHeight="false" outlineLevel="0" collapsed="false">
      <c r="A15" s="17" t="s">
        <v>145</v>
      </c>
      <c r="B15" s="17" t="s">
        <v>67</v>
      </c>
      <c r="C15" s="20" t="n">
        <f aca="false">IFERROR(IF(INDEX(Clip_Log!$I$5:$I$104,MATCH(A15,Clip_Log!$A$5:$A$104,0))="","",INDEX(Clip_Log!$I$5:$I$104,MATCH(A15,Clip_Log!$A$5:$A$104,0))),"")</f>
        <v>2</v>
      </c>
      <c r="D15" s="30" t="n">
        <v>2</v>
      </c>
      <c r="E15" s="20" t="n">
        <f aca="false">IF(OR(C15="",D15=""),"",D15-C15)</f>
        <v>0</v>
      </c>
      <c r="F15" s="20" t="str">
        <f aca="false">IF(E15="","",IF(E15=0,"Exact",IF(ABS(E15)=1,"Within 1","Off by 2+")))</f>
        <v>Exact</v>
      </c>
      <c r="G15" s="20" t="n">
        <f aca="false">IF(E15="","",ABS(E15))</f>
        <v>0</v>
      </c>
      <c r="H15" s="17" t="s">
        <v>61</v>
      </c>
      <c r="I15" s="41" t="n">
        <f aca="false">IFERROR(AVERAGEIFS($E$5:$E$64,$B$5:$B$64,H15),"")</f>
        <v>0.2</v>
      </c>
    </row>
    <row r="16" customFormat="false" ht="15" hidden="false" customHeight="false" outlineLevel="0" collapsed="false">
      <c r="A16" s="17" t="s">
        <v>145</v>
      </c>
      <c r="B16" s="17" t="s">
        <v>68</v>
      </c>
      <c r="C16" s="20" t="n">
        <f aca="false">IFERROR(IF(INDEX(Clip_Log!$J$5:$J$104,MATCH(A16,Clip_Log!$A$5:$A$104,0))="","",INDEX(Clip_Log!$J$5:$J$104,MATCH(A16,Clip_Log!$A$5:$A$104,0))),"")</f>
        <v>3</v>
      </c>
      <c r="D16" s="30" t="n">
        <v>3</v>
      </c>
      <c r="E16" s="20" t="n">
        <f aca="false">IF(OR(C16="",D16=""),"",D16-C16)</f>
        <v>0</v>
      </c>
      <c r="F16" s="20" t="str">
        <f aca="false">IF(E16="","",IF(E16=0,"Exact",IF(ABS(E16)=1,"Within 1","Off by 2+")))</f>
        <v>Exact</v>
      </c>
      <c r="G16" s="20" t="n">
        <f aca="false">IF(E16="","",ABS(E16))</f>
        <v>0</v>
      </c>
      <c r="H16" s="17" t="s">
        <v>63</v>
      </c>
      <c r="I16" s="41" t="n">
        <f aca="false">IFERROR(AVERAGEIFS($E$5:$E$64,$B$5:$B$64,H16),"")</f>
        <v>0</v>
      </c>
    </row>
    <row r="17" customFormat="false" ht="15" hidden="false" customHeight="false" outlineLevel="0" collapsed="false">
      <c r="A17" s="17" t="s">
        <v>148</v>
      </c>
      <c r="B17" s="17" t="s">
        <v>59</v>
      </c>
      <c r="C17" s="20" t="n">
        <f aca="false">IFERROR(IF(INDEX(Clip_Log!$E$5:$E$104,MATCH(A17,Clip_Log!$A$5:$A$104,0))="","",INDEX(Clip_Log!$E$5:$E$104,MATCH(A17,Clip_Log!$A$5:$A$104,0))),"")</f>
        <v>4</v>
      </c>
      <c r="D17" s="30" t="n">
        <v>3</v>
      </c>
      <c r="E17" s="20" t="n">
        <f aca="false">IF(OR(C17="",D17=""),"",D17-C17)</f>
        <v>-1</v>
      </c>
      <c r="F17" s="20" t="str">
        <f aca="false">IF(E17="","",IF(E17=0,"Exact",IF(ABS(E17)=1,"Within 1","Off by 2+")))</f>
        <v>Within 1</v>
      </c>
      <c r="G17" s="20" t="n">
        <f aca="false">IF(E17="","",ABS(E17))</f>
        <v>1</v>
      </c>
      <c r="H17" s="17" t="s">
        <v>65</v>
      </c>
      <c r="I17" s="41" t="n">
        <f aca="false">IFERROR(AVERAGEIFS($E$5:$E$64,$B$5:$B$64,H17),"")</f>
        <v>-0.6</v>
      </c>
    </row>
    <row r="18" customFormat="false" ht="15" hidden="false" customHeight="false" outlineLevel="0" collapsed="false">
      <c r="A18" s="17" t="s">
        <v>148</v>
      </c>
      <c r="B18" s="17" t="s">
        <v>61</v>
      </c>
      <c r="C18" s="20" t="n">
        <f aca="false">IFERROR(IF(INDEX(Clip_Log!$F$5:$F$104,MATCH(A18,Clip_Log!$A$5:$A$104,0))="","",INDEX(Clip_Log!$F$5:$F$104,MATCH(A18,Clip_Log!$A$5:$A$104,0))),"")</f>
        <v>4</v>
      </c>
      <c r="D18" s="30" t="n">
        <v>5</v>
      </c>
      <c r="E18" s="20" t="n">
        <f aca="false">IF(OR(C18="",D18=""),"",D18-C18)</f>
        <v>1</v>
      </c>
      <c r="F18" s="20" t="str">
        <f aca="false">IF(E18="","",IF(E18=0,"Exact",IF(ABS(E18)=1,"Within 1","Off by 2+")))</f>
        <v>Within 1</v>
      </c>
      <c r="G18" s="20" t="n">
        <f aca="false">IF(E18="","",ABS(E18))</f>
        <v>1</v>
      </c>
      <c r="H18" s="17" t="s">
        <v>67</v>
      </c>
      <c r="I18" s="41" t="n">
        <f aca="false">IFERROR(AVERAGEIFS($E$5:$E$64,$B$5:$B$64,H18),"")</f>
        <v>-0.333333333333333</v>
      </c>
    </row>
    <row r="19" customFormat="false" ht="15" hidden="false" customHeight="false" outlineLevel="0" collapsed="false">
      <c r="A19" s="17" t="s">
        <v>148</v>
      </c>
      <c r="B19" s="17" t="s">
        <v>63</v>
      </c>
      <c r="C19" s="20" t="n">
        <f aca="false">IFERROR(IF(INDEX(Clip_Log!$G$5:$G$104,MATCH(A19,Clip_Log!$A$5:$A$104,0))="","",INDEX(Clip_Log!$G$5:$G$104,MATCH(A19,Clip_Log!$A$5:$A$104,0))),"")</f>
        <v>4</v>
      </c>
      <c r="D19" s="30" t="n">
        <v>3</v>
      </c>
      <c r="E19" s="20" t="n">
        <f aca="false">IF(OR(C19="",D19=""),"",D19-C19)</f>
        <v>-1</v>
      </c>
      <c r="F19" s="20" t="str">
        <f aca="false">IF(E19="","",IF(E19=0,"Exact",IF(ABS(E19)=1,"Within 1","Off by 2+")))</f>
        <v>Within 1</v>
      </c>
      <c r="G19" s="20" t="n">
        <f aca="false">IF(E19="","",ABS(E19))</f>
        <v>1</v>
      </c>
      <c r="H19" s="17" t="s">
        <v>68</v>
      </c>
      <c r="I19" s="41" t="n">
        <f aca="false">IFERROR(AVERAGEIFS($E$5:$E$64,$B$5:$B$64,H19),"")</f>
        <v>-0.1</v>
      </c>
    </row>
    <row r="20" customFormat="false" ht="15" hidden="false" customHeight="false" outlineLevel="0" collapsed="false">
      <c r="A20" s="17" t="s">
        <v>148</v>
      </c>
      <c r="B20" s="17" t="s">
        <v>65</v>
      </c>
      <c r="C20" s="20" t="n">
        <f aca="false">IFERROR(IF(INDEX(Clip_Log!$H$5:$H$104,MATCH(A20,Clip_Log!$A$5:$A$104,0))="","",INDEX(Clip_Log!$H$5:$H$104,MATCH(A20,Clip_Log!$A$5:$A$104,0))),"")</f>
        <v>4</v>
      </c>
      <c r="D20" s="30" t="n">
        <v>4</v>
      </c>
      <c r="E20" s="20" t="n">
        <f aca="false">IF(OR(C20="",D20=""),"",D20-C20)</f>
        <v>0</v>
      </c>
      <c r="F20" s="20" t="str">
        <f aca="false">IF(E20="","",IF(E20=0,"Exact",IF(ABS(E20)=1,"Within 1","Off by 2+")))</f>
        <v>Exact</v>
      </c>
      <c r="G20" s="20" t="n">
        <f aca="false">IF(E20="","",ABS(E20))</f>
        <v>0</v>
      </c>
      <c r="H20" s="42" t="s">
        <v>218</v>
      </c>
      <c r="I20" s="43" t="n">
        <v>1</v>
      </c>
      <c r="J20" s="43" t="n">
        <v>2</v>
      </c>
      <c r="K20" s="43" t="n">
        <v>3</v>
      </c>
      <c r="L20" s="43" t="n">
        <v>4</v>
      </c>
      <c r="M20" s="43" t="n">
        <v>5</v>
      </c>
    </row>
    <row r="21" customFormat="false" ht="15" hidden="false" customHeight="false" outlineLevel="0" collapsed="false">
      <c r="A21" s="17" t="s">
        <v>148</v>
      </c>
      <c r="B21" s="17" t="s">
        <v>67</v>
      </c>
      <c r="C21" s="20" t="str">
        <f aca="false">IFERROR(IF(INDEX(Clip_Log!$I$5:$I$104,MATCH(A21,Clip_Log!$A$5:$A$104,0))="","",INDEX(Clip_Log!$I$5:$I$104,MATCH(A21,Clip_Log!$A$5:$A$104,0))),"")</f>
        <v/>
      </c>
      <c r="D21" s="30"/>
      <c r="E21" s="20" t="str">
        <f aca="false">IF(OR(C21="",D21=""),"",D21-C21)</f>
        <v/>
      </c>
      <c r="F21" s="20" t="str">
        <f aca="false">IF(E21="","",IF(E21=0,"Exact",IF(ABS(E21)=1,"Within 1","Off by 2+")))</f>
        <v/>
      </c>
      <c r="G21" s="20" t="str">
        <f aca="false">IF(E21="","",ABS(E21))</f>
        <v/>
      </c>
      <c r="H21" s="43" t="n">
        <v>1</v>
      </c>
      <c r="I21" s="44" t="n">
        <f aca="false">COUNTIFS($C$5:$C$64,1,$D$5:$D$64,1)</f>
        <v>0</v>
      </c>
      <c r="J21" s="44" t="n">
        <f aca="false">COUNTIFS($C$5:$C$64,1,$D$5:$D$64,2)</f>
        <v>0</v>
      </c>
      <c r="K21" s="44" t="n">
        <f aca="false">COUNTIFS($C$5:$C$64,1,$D$5:$D$64,3)</f>
        <v>0</v>
      </c>
      <c r="L21" s="44" t="n">
        <f aca="false">COUNTIFS($C$5:$C$64,1,$D$5:$D$64,4)</f>
        <v>0</v>
      </c>
      <c r="M21" s="44" t="n">
        <f aca="false">COUNTIFS($C$5:$C$64,1,$D$5:$D$64,5)</f>
        <v>0</v>
      </c>
    </row>
    <row r="22" customFormat="false" ht="15" hidden="false" customHeight="false" outlineLevel="0" collapsed="false">
      <c r="A22" s="17" t="s">
        <v>148</v>
      </c>
      <c r="B22" s="17" t="s">
        <v>68</v>
      </c>
      <c r="C22" s="20" t="n">
        <f aca="false">IFERROR(IF(INDEX(Clip_Log!$J$5:$J$104,MATCH(A22,Clip_Log!$A$5:$A$104,0))="","",INDEX(Clip_Log!$J$5:$J$104,MATCH(A22,Clip_Log!$A$5:$A$104,0))),"")</f>
        <v>3</v>
      </c>
      <c r="D22" s="30" t="n">
        <v>3</v>
      </c>
      <c r="E22" s="20" t="n">
        <f aca="false">IF(OR(C22="",D22=""),"",D22-C22)</f>
        <v>0</v>
      </c>
      <c r="F22" s="20" t="str">
        <f aca="false">IF(E22="","",IF(E22=0,"Exact",IF(ABS(E22)=1,"Within 1","Off by 2+")))</f>
        <v>Exact</v>
      </c>
      <c r="G22" s="20" t="n">
        <f aca="false">IF(E22="","",ABS(E22))</f>
        <v>0</v>
      </c>
      <c r="H22" s="43" t="n">
        <v>2</v>
      </c>
      <c r="I22" s="44" t="n">
        <f aca="false">COUNTIFS($C$5:$C$64,2,$D$5:$D$64,1)</f>
        <v>3</v>
      </c>
      <c r="J22" s="44" t="n">
        <f aca="false">COUNTIFS($C$5:$C$64,2,$D$5:$D$64,2)</f>
        <v>5</v>
      </c>
      <c r="K22" s="44" t="n">
        <f aca="false">COUNTIFS($C$5:$C$64,2,$D$5:$D$64,3)</f>
        <v>0</v>
      </c>
      <c r="L22" s="44" t="n">
        <f aca="false">COUNTIFS($C$5:$C$64,2,$D$5:$D$64,4)</f>
        <v>0</v>
      </c>
      <c r="M22" s="44" t="n">
        <f aca="false">COUNTIFS($C$5:$C$64,2,$D$5:$D$64,5)</f>
        <v>0</v>
      </c>
    </row>
    <row r="23" customFormat="false" ht="15" hidden="false" customHeight="false" outlineLevel="0" collapsed="false">
      <c r="A23" s="17" t="s">
        <v>151</v>
      </c>
      <c r="B23" s="17" t="s">
        <v>59</v>
      </c>
      <c r="C23" s="20" t="n">
        <f aca="false">IFERROR(IF(INDEX(Clip_Log!$E$5:$E$104,MATCH(A23,Clip_Log!$A$5:$A$104,0))="","",INDEX(Clip_Log!$E$5:$E$104,MATCH(A23,Clip_Log!$A$5:$A$104,0))),"")</f>
        <v>2</v>
      </c>
      <c r="D23" s="30" t="n">
        <v>2</v>
      </c>
      <c r="E23" s="20" t="n">
        <f aca="false">IF(OR(C23="",D23=""),"",D23-C23)</f>
        <v>0</v>
      </c>
      <c r="F23" s="20" t="str">
        <f aca="false">IF(E23="","",IF(E23=0,"Exact",IF(ABS(E23)=1,"Within 1","Off by 2+")))</f>
        <v>Exact</v>
      </c>
      <c r="G23" s="20" t="n">
        <f aca="false">IF(E23="","",ABS(E23))</f>
        <v>0</v>
      </c>
      <c r="H23" s="43" t="n">
        <v>3</v>
      </c>
      <c r="I23" s="44" t="n">
        <f aca="false">COUNTIFS($C$5:$C$64,3,$D$5:$D$64,1)</f>
        <v>0</v>
      </c>
      <c r="J23" s="44" t="n">
        <f aca="false">COUNTIFS($C$5:$C$64,3,$D$5:$D$64,2)</f>
        <v>8</v>
      </c>
      <c r="K23" s="44" t="n">
        <f aca="false">COUNTIFS($C$5:$C$64,3,$D$5:$D$64,3)</f>
        <v>16</v>
      </c>
      <c r="L23" s="44" t="n">
        <f aca="false">COUNTIFS($C$5:$C$64,3,$D$5:$D$64,4)</f>
        <v>5</v>
      </c>
      <c r="M23" s="44" t="n">
        <f aca="false">COUNTIFS($C$5:$C$64,3,$D$5:$D$64,5)</f>
        <v>0</v>
      </c>
    </row>
    <row r="24" customFormat="false" ht="15" hidden="false" customHeight="false" outlineLevel="0" collapsed="false">
      <c r="A24" s="17" t="s">
        <v>151</v>
      </c>
      <c r="B24" s="17" t="s">
        <v>61</v>
      </c>
      <c r="C24" s="20" t="n">
        <f aca="false">IFERROR(IF(INDEX(Clip_Log!$F$5:$F$104,MATCH(A24,Clip_Log!$A$5:$A$104,0))="","",INDEX(Clip_Log!$F$5:$F$104,MATCH(A24,Clip_Log!$A$5:$A$104,0))),"")</f>
        <v>3</v>
      </c>
      <c r="D24" s="30" t="n">
        <v>4</v>
      </c>
      <c r="E24" s="20" t="n">
        <f aca="false">IF(OR(C24="",D24=""),"",D24-C24)</f>
        <v>1</v>
      </c>
      <c r="F24" s="20" t="str">
        <f aca="false">IF(E24="","",IF(E24=0,"Exact",IF(ABS(E24)=1,"Within 1","Off by 2+")))</f>
        <v>Within 1</v>
      </c>
      <c r="G24" s="20" t="n">
        <f aca="false">IF(E24="","",ABS(E24))</f>
        <v>1</v>
      </c>
      <c r="H24" s="43" t="n">
        <v>4</v>
      </c>
      <c r="I24" s="44" t="n">
        <f aca="false">COUNTIFS($C$5:$C$64,4,$D$5:$D$64,1)</f>
        <v>0</v>
      </c>
      <c r="J24" s="44" t="n">
        <f aca="false">COUNTIFS($C$5:$C$64,4,$D$5:$D$64,2)</f>
        <v>0</v>
      </c>
      <c r="K24" s="44" t="n">
        <f aca="false">COUNTIFS($C$5:$C$64,4,$D$5:$D$64,3)</f>
        <v>6</v>
      </c>
      <c r="L24" s="44" t="n">
        <f aca="false">COUNTIFS($C$5:$C$64,4,$D$5:$D$64,4)</f>
        <v>9</v>
      </c>
      <c r="M24" s="44" t="n">
        <f aca="false">COUNTIFS($C$5:$C$64,4,$D$5:$D$64,5)</f>
        <v>4</v>
      </c>
    </row>
    <row r="25" customFormat="false" ht="15" hidden="false" customHeight="false" outlineLevel="0" collapsed="false">
      <c r="A25" s="17" t="s">
        <v>151</v>
      </c>
      <c r="B25" s="17" t="s">
        <v>63</v>
      </c>
      <c r="C25" s="20" t="n">
        <f aca="false">IFERROR(IF(INDEX(Clip_Log!$G$5:$G$104,MATCH(A25,Clip_Log!$A$5:$A$104,0))="","",INDEX(Clip_Log!$G$5:$G$104,MATCH(A25,Clip_Log!$A$5:$A$104,0))),"")</f>
        <v>2</v>
      </c>
      <c r="D25" s="30" t="n">
        <v>2</v>
      </c>
      <c r="E25" s="20" t="n">
        <f aca="false">IF(OR(C25="",D25=""),"",D25-C25)</f>
        <v>0</v>
      </c>
      <c r="F25" s="20" t="str">
        <f aca="false">IF(E25="","",IF(E25=0,"Exact",IF(ABS(E25)=1,"Within 1","Off by 2+")))</f>
        <v>Exact</v>
      </c>
      <c r="G25" s="20" t="n">
        <f aca="false">IF(E25="","",ABS(E25))</f>
        <v>0</v>
      </c>
      <c r="H25" s="43" t="n">
        <v>5</v>
      </c>
      <c r="I25" s="44" t="n">
        <f aca="false">COUNTIFS($C$5:$C$64,5,$D$5:$D$64,1)</f>
        <v>0</v>
      </c>
      <c r="J25" s="44" t="n">
        <f aca="false">COUNTIFS($C$5:$C$64,5,$D$5:$D$64,2)</f>
        <v>0</v>
      </c>
      <c r="K25" s="44" t="n">
        <f aca="false">COUNTIFS($C$5:$C$64,5,$D$5:$D$64,3)</f>
        <v>0</v>
      </c>
      <c r="L25" s="44" t="n">
        <f aca="false">COUNTIFS($C$5:$C$64,5,$D$5:$D$64,4)</f>
        <v>0</v>
      </c>
      <c r="M25" s="44" t="n">
        <f aca="false">COUNTIFS($C$5:$C$64,5,$D$5:$D$64,5)</f>
        <v>0</v>
      </c>
    </row>
    <row r="26" customFormat="false" ht="15" hidden="false" customHeight="false" outlineLevel="0" collapsed="false">
      <c r="A26" s="17" t="s">
        <v>151</v>
      </c>
      <c r="B26" s="17" t="s">
        <v>65</v>
      </c>
      <c r="C26" s="20" t="n">
        <f aca="false">IFERROR(IF(INDEX(Clip_Log!$H$5:$H$104,MATCH(A26,Clip_Log!$A$5:$A$104,0))="","",INDEX(Clip_Log!$H$5:$H$104,MATCH(A26,Clip_Log!$A$5:$A$104,0))),"")</f>
        <v>2</v>
      </c>
      <c r="D26" s="30" t="n">
        <v>1</v>
      </c>
      <c r="E26" s="20" t="n">
        <f aca="false">IF(OR(C26="",D26=""),"",D26-C26)</f>
        <v>-1</v>
      </c>
      <c r="F26" s="20" t="str">
        <f aca="false">IF(E26="","",IF(E26=0,"Exact",IF(ABS(E26)=1,"Within 1","Off by 2+")))</f>
        <v>Within 1</v>
      </c>
      <c r="G26" s="20" t="n">
        <f aca="false">IF(E26="","",ABS(E26))</f>
        <v>1</v>
      </c>
    </row>
    <row r="27" customFormat="false" ht="15" hidden="false" customHeight="false" outlineLevel="0" collapsed="false">
      <c r="A27" s="17" t="s">
        <v>151</v>
      </c>
      <c r="B27" s="17" t="s">
        <v>67</v>
      </c>
      <c r="C27" s="20" t="str">
        <f aca="false">IFERROR(IF(INDEX(Clip_Log!$I$5:$I$104,MATCH(A27,Clip_Log!$A$5:$A$104,0))="","",INDEX(Clip_Log!$I$5:$I$104,MATCH(A27,Clip_Log!$A$5:$A$104,0))),"")</f>
        <v/>
      </c>
      <c r="D27" s="30"/>
      <c r="E27" s="20" t="str">
        <f aca="false">IF(OR(C27="",D27=""),"",D27-C27)</f>
        <v/>
      </c>
      <c r="F27" s="20" t="str">
        <f aca="false">IF(E27="","",IF(E27=0,"Exact",IF(ABS(E27)=1,"Within 1","Off by 2+")))</f>
        <v/>
      </c>
      <c r="G27" s="20" t="str">
        <f aca="false">IF(E27="","",ABS(E27))</f>
        <v/>
      </c>
    </row>
    <row r="28" customFormat="false" ht="15" hidden="false" customHeight="false" outlineLevel="0" collapsed="false">
      <c r="A28" s="17" t="s">
        <v>151</v>
      </c>
      <c r="B28" s="17" t="s">
        <v>68</v>
      </c>
      <c r="C28" s="20" t="n">
        <f aca="false">IFERROR(IF(INDEX(Clip_Log!$J$5:$J$104,MATCH(A28,Clip_Log!$A$5:$A$104,0))="","",INDEX(Clip_Log!$J$5:$J$104,MATCH(A28,Clip_Log!$A$5:$A$104,0))),"")</f>
        <v>3</v>
      </c>
      <c r="D28" s="30" t="n">
        <v>3</v>
      </c>
      <c r="E28" s="20" t="n">
        <f aca="false">IF(OR(C28="",D28=""),"",D28-C28)</f>
        <v>0</v>
      </c>
      <c r="F28" s="20" t="str">
        <f aca="false">IF(E28="","",IF(E28=0,"Exact",IF(ABS(E28)=1,"Within 1","Off by 2+")))</f>
        <v>Exact</v>
      </c>
      <c r="G28" s="20" t="n">
        <f aca="false">IF(E28="","",ABS(E28))</f>
        <v>0</v>
      </c>
      <c r="H28" s="42" t="s">
        <v>219</v>
      </c>
      <c r="I28" s="43" t="n">
        <v>1</v>
      </c>
      <c r="J28" s="43" t="n">
        <v>2</v>
      </c>
      <c r="K28" s="43" t="n">
        <v>3</v>
      </c>
      <c r="L28" s="43" t="n">
        <v>4</v>
      </c>
      <c r="M28" s="43" t="n">
        <v>5</v>
      </c>
    </row>
    <row r="29" customFormat="false" ht="15" hidden="false" customHeight="false" outlineLevel="0" collapsed="false">
      <c r="A29" s="17" t="s">
        <v>154</v>
      </c>
      <c r="B29" s="17" t="s">
        <v>59</v>
      </c>
      <c r="C29" s="20" t="n">
        <f aca="false">IFERROR(IF(INDEX(Clip_Log!$E$5:$E$104,MATCH(A29,Clip_Log!$A$5:$A$104,0))="","",INDEX(Clip_Log!$E$5:$E$104,MATCH(A29,Clip_Log!$A$5:$A$104,0))),"")</f>
        <v>3</v>
      </c>
      <c r="D29" s="30" t="n">
        <v>3</v>
      </c>
      <c r="E29" s="20" t="n">
        <f aca="false">IF(OR(C29="",D29=""),"",D29-C29)</f>
        <v>0</v>
      </c>
      <c r="F29" s="20" t="str">
        <f aca="false">IF(E29="","",IF(E29=0,"Exact",IF(ABS(E29)=1,"Within 1","Off by 2+")))</f>
        <v>Exact</v>
      </c>
      <c r="G29" s="20" t="n">
        <f aca="false">IF(E29="","",ABS(E29))</f>
        <v>0</v>
      </c>
      <c r="H29" s="43" t="n">
        <v>1</v>
      </c>
      <c r="I29" s="44" t="n">
        <f aca="false">SUM($I$21:$M$21)*SUM(I$21:I$25)/$I$5</f>
        <v>0</v>
      </c>
      <c r="J29" s="44" t="n">
        <f aca="false">SUM($I$21:$M$21)*SUM(J$21:J$25)/$I$5</f>
        <v>0</v>
      </c>
      <c r="K29" s="44" t="n">
        <f aca="false">SUM($I$21:$M$21)*SUM(K$21:K$25)/$I$5</f>
        <v>0</v>
      </c>
      <c r="L29" s="44" t="n">
        <f aca="false">SUM($I$21:$M$21)*SUM(L$21:L$25)/$I$5</f>
        <v>0</v>
      </c>
      <c r="M29" s="44" t="n">
        <f aca="false">SUM($I$21:$M$21)*SUM(M$21:M$25)/$I$5</f>
        <v>0</v>
      </c>
    </row>
    <row r="30" customFormat="false" ht="15" hidden="false" customHeight="false" outlineLevel="0" collapsed="false">
      <c r="A30" s="17" t="s">
        <v>154</v>
      </c>
      <c r="B30" s="17" t="s">
        <v>61</v>
      </c>
      <c r="C30" s="20" t="n">
        <f aca="false">IFERROR(IF(INDEX(Clip_Log!$F$5:$F$104,MATCH(A30,Clip_Log!$A$5:$A$104,0))="","",INDEX(Clip_Log!$F$5:$F$104,MATCH(A30,Clip_Log!$A$5:$A$104,0))),"")</f>
        <v>4</v>
      </c>
      <c r="D30" s="30" t="n">
        <v>5</v>
      </c>
      <c r="E30" s="20" t="n">
        <f aca="false">IF(OR(C30="",D30=""),"",D30-C30)</f>
        <v>1</v>
      </c>
      <c r="F30" s="20" t="str">
        <f aca="false">IF(E30="","",IF(E30=0,"Exact",IF(ABS(E30)=1,"Within 1","Off by 2+")))</f>
        <v>Within 1</v>
      </c>
      <c r="G30" s="20" t="n">
        <f aca="false">IF(E30="","",ABS(E30))</f>
        <v>1</v>
      </c>
      <c r="H30" s="43" t="n">
        <v>2</v>
      </c>
      <c r="I30" s="44" t="n">
        <f aca="false">SUM($I$22:$M$22)*SUM(I$21:I$25)/$I$5</f>
        <v>0.428571428571429</v>
      </c>
      <c r="J30" s="44" t="n">
        <f aca="false">SUM($I$22:$M$22)*SUM(J$21:J$25)/$I$5</f>
        <v>1.85714285714286</v>
      </c>
      <c r="K30" s="44" t="n">
        <f aca="false">SUM($I$22:$M$22)*SUM(K$21:K$25)/$I$5</f>
        <v>3.14285714285714</v>
      </c>
      <c r="L30" s="44" t="n">
        <f aca="false">SUM($I$22:$M$22)*SUM(L$21:L$25)/$I$5</f>
        <v>2</v>
      </c>
      <c r="M30" s="44" t="n">
        <f aca="false">SUM($I$22:$M$22)*SUM(M$21:M$25)/$I$5</f>
        <v>0.571428571428571</v>
      </c>
    </row>
    <row r="31" customFormat="false" ht="15" hidden="false" customHeight="false" outlineLevel="0" collapsed="false">
      <c r="A31" s="17" t="s">
        <v>154</v>
      </c>
      <c r="B31" s="17" t="s">
        <v>63</v>
      </c>
      <c r="C31" s="20" t="n">
        <f aca="false">IFERROR(IF(INDEX(Clip_Log!$G$5:$G$104,MATCH(A31,Clip_Log!$A$5:$A$104,0))="","",INDEX(Clip_Log!$G$5:$G$104,MATCH(A31,Clip_Log!$A$5:$A$104,0))),"")</f>
        <v>4</v>
      </c>
      <c r="D31" s="30" t="n">
        <v>3</v>
      </c>
      <c r="E31" s="20" t="n">
        <f aca="false">IF(OR(C31="",D31=""),"",D31-C31)</f>
        <v>-1</v>
      </c>
      <c r="F31" s="20" t="str">
        <f aca="false">IF(E31="","",IF(E31=0,"Exact",IF(ABS(E31)=1,"Within 1","Off by 2+")))</f>
        <v>Within 1</v>
      </c>
      <c r="G31" s="20" t="n">
        <f aca="false">IF(E31="","",ABS(E31))</f>
        <v>1</v>
      </c>
      <c r="H31" s="43" t="n">
        <v>3</v>
      </c>
      <c r="I31" s="44" t="n">
        <f aca="false">SUM($I$23:$M$23)*SUM(I$21:I$25)/$I$5</f>
        <v>1.55357142857143</v>
      </c>
      <c r="J31" s="44" t="n">
        <f aca="false">SUM($I$23:$M$23)*SUM(J$21:J$25)/$I$5</f>
        <v>6.73214285714286</v>
      </c>
      <c r="K31" s="44" t="n">
        <f aca="false">SUM($I$23:$M$23)*SUM(K$21:K$25)/$I$5</f>
        <v>11.3928571428571</v>
      </c>
      <c r="L31" s="44" t="n">
        <f aca="false">SUM($I$23:$M$23)*SUM(L$21:L$25)/$I$5</f>
        <v>7.25</v>
      </c>
      <c r="M31" s="44" t="n">
        <f aca="false">SUM($I$23:$M$23)*SUM(M$21:M$25)/$I$5</f>
        <v>2.07142857142857</v>
      </c>
    </row>
    <row r="32" customFormat="false" ht="15" hidden="false" customHeight="false" outlineLevel="0" collapsed="false">
      <c r="A32" s="17" t="s">
        <v>154</v>
      </c>
      <c r="B32" s="17" t="s">
        <v>65</v>
      </c>
      <c r="C32" s="20" t="n">
        <f aca="false">IFERROR(IF(INDEX(Clip_Log!$H$5:$H$104,MATCH(A32,Clip_Log!$A$5:$A$104,0))="","",INDEX(Clip_Log!$H$5:$H$104,MATCH(A32,Clip_Log!$A$5:$A$104,0))),"")</f>
        <v>4</v>
      </c>
      <c r="D32" s="30" t="n">
        <v>3</v>
      </c>
      <c r="E32" s="20" t="n">
        <f aca="false">IF(OR(C32="",D32=""),"",D32-C32)</f>
        <v>-1</v>
      </c>
      <c r="F32" s="20" t="str">
        <f aca="false">IF(E32="","",IF(E32=0,"Exact",IF(ABS(E32)=1,"Within 1","Off by 2+")))</f>
        <v>Within 1</v>
      </c>
      <c r="G32" s="20" t="n">
        <f aca="false">IF(E32="","",ABS(E32))</f>
        <v>1</v>
      </c>
      <c r="H32" s="43" t="n">
        <v>4</v>
      </c>
      <c r="I32" s="44" t="n">
        <f aca="false">SUM($I$24:$M$24)*SUM(I$21:I$25)/$I$5</f>
        <v>1.01785714285714</v>
      </c>
      <c r="J32" s="44" t="n">
        <f aca="false">SUM($I$24:$M$24)*SUM(J$21:J$25)/$I$5</f>
        <v>4.41071428571429</v>
      </c>
      <c r="K32" s="44" t="n">
        <f aca="false">SUM($I$24:$M$24)*SUM(K$21:K$25)/$I$5</f>
        <v>7.46428571428571</v>
      </c>
      <c r="L32" s="44" t="n">
        <f aca="false">SUM($I$24:$M$24)*SUM(L$21:L$25)/$I$5</f>
        <v>4.75</v>
      </c>
      <c r="M32" s="44" t="n">
        <f aca="false">SUM($I$24:$M$24)*SUM(M$21:M$25)/$I$5</f>
        <v>1.35714285714286</v>
      </c>
    </row>
    <row r="33" customFormat="false" ht="15" hidden="false" customHeight="false" outlineLevel="0" collapsed="false">
      <c r="A33" s="17" t="s">
        <v>154</v>
      </c>
      <c r="B33" s="17" t="s">
        <v>67</v>
      </c>
      <c r="C33" s="20" t="n">
        <f aca="false">IFERROR(IF(INDEX(Clip_Log!$I$5:$I$104,MATCH(A33,Clip_Log!$A$5:$A$104,0))="","",INDEX(Clip_Log!$I$5:$I$104,MATCH(A33,Clip_Log!$A$5:$A$104,0))),"")</f>
        <v>3</v>
      </c>
      <c r="D33" s="30" t="n">
        <v>4</v>
      </c>
      <c r="E33" s="20" t="n">
        <f aca="false">IF(OR(C33="",D33=""),"",D33-C33)</f>
        <v>1</v>
      </c>
      <c r="F33" s="20" t="str">
        <f aca="false">IF(E33="","",IF(E33=0,"Exact",IF(ABS(E33)=1,"Within 1","Off by 2+")))</f>
        <v>Within 1</v>
      </c>
      <c r="G33" s="20" t="n">
        <f aca="false">IF(E33="","",ABS(E33))</f>
        <v>1</v>
      </c>
      <c r="H33" s="43" t="n">
        <v>5</v>
      </c>
      <c r="I33" s="44" t="n">
        <f aca="false">SUM($I$25:$M$25)*SUM(I$21:I$25)/$I$5</f>
        <v>0</v>
      </c>
      <c r="J33" s="44" t="n">
        <f aca="false">SUM($I$25:$M$25)*SUM(J$21:J$25)/$I$5</f>
        <v>0</v>
      </c>
      <c r="K33" s="44" t="n">
        <f aca="false">SUM($I$25:$M$25)*SUM(K$21:K$25)/$I$5</f>
        <v>0</v>
      </c>
      <c r="L33" s="44" t="n">
        <f aca="false">SUM($I$25:$M$25)*SUM(L$21:L$25)/$I$5</f>
        <v>0</v>
      </c>
      <c r="M33" s="44" t="n">
        <f aca="false">SUM($I$25:$M$25)*SUM(M$21:M$25)/$I$5</f>
        <v>0</v>
      </c>
    </row>
    <row r="34" customFormat="false" ht="15" hidden="false" customHeight="false" outlineLevel="0" collapsed="false">
      <c r="A34" s="17" t="s">
        <v>154</v>
      </c>
      <c r="B34" s="17" t="s">
        <v>68</v>
      </c>
      <c r="C34" s="20" t="n">
        <f aca="false">IFERROR(IF(INDEX(Clip_Log!$J$5:$J$104,MATCH(A34,Clip_Log!$A$5:$A$104,0))="","",INDEX(Clip_Log!$J$5:$J$104,MATCH(A34,Clip_Log!$A$5:$A$104,0))),"")</f>
        <v>4</v>
      </c>
      <c r="D34" s="30" t="n">
        <v>5</v>
      </c>
      <c r="E34" s="20" t="n">
        <f aca="false">IF(OR(C34="",D34=""),"",D34-C34)</f>
        <v>1</v>
      </c>
      <c r="F34" s="20" t="str">
        <f aca="false">IF(E34="","",IF(E34=0,"Exact",IF(ABS(E34)=1,"Within 1","Off by 2+")))</f>
        <v>Within 1</v>
      </c>
      <c r="G34" s="20" t="n">
        <f aca="false">IF(E34="","",ABS(E34))</f>
        <v>1</v>
      </c>
    </row>
    <row r="35" customFormat="false" ht="15" hidden="false" customHeight="false" outlineLevel="0" collapsed="false">
      <c r="A35" s="17" t="s">
        <v>158</v>
      </c>
      <c r="B35" s="17" t="s">
        <v>59</v>
      </c>
      <c r="C35" s="20" t="n">
        <f aca="false">IFERROR(IF(INDEX(Clip_Log!$E$5:$E$104,MATCH(A35,Clip_Log!$A$5:$A$104,0))="","",INDEX(Clip_Log!$E$5:$E$104,MATCH(A35,Clip_Log!$A$5:$A$104,0))),"")</f>
        <v>3</v>
      </c>
      <c r="D35" s="30" t="n">
        <v>2</v>
      </c>
      <c r="E35" s="20" t="n">
        <f aca="false">IF(OR(C35="",D35=""),"",D35-C35)</f>
        <v>-1</v>
      </c>
      <c r="F35" s="20" t="str">
        <f aca="false">IF(E35="","",IF(E35=0,"Exact",IF(ABS(E35)=1,"Within 1","Off by 2+")))</f>
        <v>Within 1</v>
      </c>
      <c r="G35" s="20" t="n">
        <f aca="false">IF(E35="","",ABS(E35))</f>
        <v>1</v>
      </c>
    </row>
    <row r="36" customFormat="false" ht="15" hidden="false" customHeight="false" outlineLevel="0" collapsed="false">
      <c r="A36" s="17" t="s">
        <v>158</v>
      </c>
      <c r="B36" s="17" t="s">
        <v>61</v>
      </c>
      <c r="C36" s="20" t="n">
        <f aca="false">IFERROR(IF(INDEX(Clip_Log!$F$5:$F$104,MATCH(A36,Clip_Log!$A$5:$A$104,0))="","",INDEX(Clip_Log!$F$5:$F$104,MATCH(A36,Clip_Log!$A$5:$A$104,0))),"")</f>
        <v>3</v>
      </c>
      <c r="D36" s="30" t="n">
        <v>3</v>
      </c>
      <c r="E36" s="20" t="n">
        <f aca="false">IF(OR(C36="",D36=""),"",D36-C36)</f>
        <v>0</v>
      </c>
      <c r="F36" s="20" t="str">
        <f aca="false">IF(E36="","",IF(E36=0,"Exact",IF(ABS(E36)=1,"Within 1","Off by 2+")))</f>
        <v>Exact</v>
      </c>
      <c r="G36" s="20" t="n">
        <f aca="false">IF(E36="","",ABS(E36))</f>
        <v>0</v>
      </c>
      <c r="H36" s="42" t="s">
        <v>220</v>
      </c>
      <c r="I36" s="43" t="n">
        <v>1</v>
      </c>
      <c r="J36" s="43" t="n">
        <v>2</v>
      </c>
      <c r="K36" s="43" t="n">
        <v>3</v>
      </c>
      <c r="L36" s="43" t="n">
        <v>4</v>
      </c>
      <c r="M36" s="43" t="n">
        <v>5</v>
      </c>
    </row>
    <row r="37" customFormat="false" ht="15" hidden="false" customHeight="false" outlineLevel="0" collapsed="false">
      <c r="A37" s="17" t="s">
        <v>158</v>
      </c>
      <c r="B37" s="17" t="s">
        <v>63</v>
      </c>
      <c r="C37" s="20" t="n">
        <f aca="false">IFERROR(IF(INDEX(Clip_Log!$G$5:$G$104,MATCH(A37,Clip_Log!$A$5:$A$104,0))="","",INDEX(Clip_Log!$G$5:$G$104,MATCH(A37,Clip_Log!$A$5:$A$104,0))),"")</f>
        <v>3</v>
      </c>
      <c r="D37" s="30" t="n">
        <v>3</v>
      </c>
      <c r="E37" s="20" t="n">
        <f aca="false">IF(OR(C37="",D37=""),"",D37-C37)</f>
        <v>0</v>
      </c>
      <c r="F37" s="20" t="str">
        <f aca="false">IF(E37="","",IF(E37=0,"Exact",IF(ABS(E37)=1,"Within 1","Off by 2+")))</f>
        <v>Exact</v>
      </c>
      <c r="G37" s="20" t="n">
        <f aca="false">IF(E37="","",ABS(E37))</f>
        <v>0</v>
      </c>
      <c r="H37" s="43" t="n">
        <v>1</v>
      </c>
      <c r="I37" s="44" t="n">
        <f aca="false">(1-1)^2/16</f>
        <v>0</v>
      </c>
      <c r="J37" s="44" t="n">
        <f aca="false">(1-2)^2/16</f>
        <v>0.0625</v>
      </c>
      <c r="K37" s="44" t="n">
        <f aca="false">(1-3)^2/16</f>
        <v>0.25</v>
      </c>
      <c r="L37" s="44" t="n">
        <f aca="false">(1-4)^2/16</f>
        <v>0.5625</v>
      </c>
      <c r="M37" s="44" t="n">
        <f aca="false">(1-5)^2/16</f>
        <v>1</v>
      </c>
    </row>
    <row r="38" customFormat="false" ht="15" hidden="false" customHeight="false" outlineLevel="0" collapsed="false">
      <c r="A38" s="17" t="s">
        <v>158</v>
      </c>
      <c r="B38" s="17" t="s">
        <v>65</v>
      </c>
      <c r="C38" s="20" t="n">
        <f aca="false">IFERROR(IF(INDEX(Clip_Log!$H$5:$H$104,MATCH(A38,Clip_Log!$A$5:$A$104,0))="","",INDEX(Clip_Log!$H$5:$H$104,MATCH(A38,Clip_Log!$A$5:$A$104,0))),"")</f>
        <v>3</v>
      </c>
      <c r="D38" s="30" t="n">
        <v>2</v>
      </c>
      <c r="E38" s="20" t="n">
        <f aca="false">IF(OR(C38="",D38=""),"",D38-C38)</f>
        <v>-1</v>
      </c>
      <c r="F38" s="20" t="str">
        <f aca="false">IF(E38="","",IF(E38=0,"Exact",IF(ABS(E38)=1,"Within 1","Off by 2+")))</f>
        <v>Within 1</v>
      </c>
      <c r="G38" s="20" t="n">
        <f aca="false">IF(E38="","",ABS(E38))</f>
        <v>1</v>
      </c>
      <c r="H38" s="43" t="n">
        <v>2</v>
      </c>
      <c r="I38" s="44" t="n">
        <f aca="false">(2-1)^2/16</f>
        <v>0.0625</v>
      </c>
      <c r="J38" s="44" t="n">
        <f aca="false">(2-2)^2/16</f>
        <v>0</v>
      </c>
      <c r="K38" s="44" t="n">
        <f aca="false">(2-3)^2/16</f>
        <v>0.0625</v>
      </c>
      <c r="L38" s="44" t="n">
        <f aca="false">(2-4)^2/16</f>
        <v>0.25</v>
      </c>
      <c r="M38" s="44" t="n">
        <f aca="false">(2-5)^2/16</f>
        <v>0.5625</v>
      </c>
    </row>
    <row r="39" customFormat="false" ht="15" hidden="false" customHeight="false" outlineLevel="0" collapsed="false">
      <c r="A39" s="17" t="s">
        <v>158</v>
      </c>
      <c r="B39" s="17" t="s">
        <v>67</v>
      </c>
      <c r="C39" s="20" t="n">
        <f aca="false">IFERROR(IF(INDEX(Clip_Log!$I$5:$I$104,MATCH(A39,Clip_Log!$A$5:$A$104,0))="","",INDEX(Clip_Log!$I$5:$I$104,MATCH(A39,Clip_Log!$A$5:$A$104,0))),"")</f>
        <v>2</v>
      </c>
      <c r="D39" s="30" t="n">
        <v>1</v>
      </c>
      <c r="E39" s="20" t="n">
        <f aca="false">IF(OR(C39="",D39=""),"",D39-C39)</f>
        <v>-1</v>
      </c>
      <c r="F39" s="20" t="str">
        <f aca="false">IF(E39="","",IF(E39=0,"Exact",IF(ABS(E39)=1,"Within 1","Off by 2+")))</f>
        <v>Within 1</v>
      </c>
      <c r="G39" s="20" t="n">
        <f aca="false">IF(E39="","",ABS(E39))</f>
        <v>1</v>
      </c>
      <c r="H39" s="43" t="n">
        <v>3</v>
      </c>
      <c r="I39" s="44" t="n">
        <f aca="false">(3-1)^2/16</f>
        <v>0.25</v>
      </c>
      <c r="J39" s="44" t="n">
        <f aca="false">(3-2)^2/16</f>
        <v>0.0625</v>
      </c>
      <c r="K39" s="44" t="n">
        <f aca="false">(3-3)^2/16</f>
        <v>0</v>
      </c>
      <c r="L39" s="44" t="n">
        <f aca="false">(3-4)^2/16</f>
        <v>0.0625</v>
      </c>
      <c r="M39" s="44" t="n">
        <f aca="false">(3-5)^2/16</f>
        <v>0.25</v>
      </c>
    </row>
    <row r="40" customFormat="false" ht="15" hidden="false" customHeight="false" outlineLevel="0" collapsed="false">
      <c r="A40" s="17" t="s">
        <v>158</v>
      </c>
      <c r="B40" s="17" t="s">
        <v>68</v>
      </c>
      <c r="C40" s="20" t="n">
        <f aca="false">IFERROR(IF(INDEX(Clip_Log!$J$5:$J$104,MATCH(A40,Clip_Log!$A$5:$A$104,0))="","",INDEX(Clip_Log!$J$5:$J$104,MATCH(A40,Clip_Log!$A$5:$A$104,0))),"")</f>
        <v>3</v>
      </c>
      <c r="D40" s="30" t="n">
        <v>3</v>
      </c>
      <c r="E40" s="20" t="n">
        <f aca="false">IF(OR(C40="",D40=""),"",D40-C40)</f>
        <v>0</v>
      </c>
      <c r="F40" s="20" t="str">
        <f aca="false">IF(E40="","",IF(E40=0,"Exact",IF(ABS(E40)=1,"Within 1","Off by 2+")))</f>
        <v>Exact</v>
      </c>
      <c r="G40" s="20" t="n">
        <f aca="false">IF(E40="","",ABS(E40))</f>
        <v>0</v>
      </c>
      <c r="H40" s="43" t="n">
        <v>4</v>
      </c>
      <c r="I40" s="44" t="n">
        <f aca="false">(4-1)^2/16</f>
        <v>0.5625</v>
      </c>
      <c r="J40" s="44" t="n">
        <f aca="false">(4-2)^2/16</f>
        <v>0.25</v>
      </c>
      <c r="K40" s="44" t="n">
        <f aca="false">(4-3)^2/16</f>
        <v>0.0625</v>
      </c>
      <c r="L40" s="44" t="n">
        <f aca="false">(4-4)^2/16</f>
        <v>0</v>
      </c>
      <c r="M40" s="44" t="n">
        <f aca="false">(4-5)^2/16</f>
        <v>0.0625</v>
      </c>
    </row>
    <row r="41" customFormat="false" ht="15" hidden="false" customHeight="false" outlineLevel="0" collapsed="false">
      <c r="A41" s="17" t="s">
        <v>165</v>
      </c>
      <c r="B41" s="17" t="s">
        <v>59</v>
      </c>
      <c r="C41" s="20" t="n">
        <f aca="false">IFERROR(IF(INDEX(Clip_Log!$E$5:$E$104,MATCH(A41,Clip_Log!$A$5:$A$104,0))="","",INDEX(Clip_Log!$E$5:$E$104,MATCH(A41,Clip_Log!$A$5:$A$104,0))),"")</f>
        <v>3</v>
      </c>
      <c r="D41" s="30" t="n">
        <v>4</v>
      </c>
      <c r="E41" s="20" t="n">
        <f aca="false">IF(OR(C41="",D41=""),"",D41-C41)</f>
        <v>1</v>
      </c>
      <c r="F41" s="20" t="str">
        <f aca="false">IF(E41="","",IF(E41=0,"Exact",IF(ABS(E41)=1,"Within 1","Off by 2+")))</f>
        <v>Within 1</v>
      </c>
      <c r="G41" s="20" t="n">
        <f aca="false">IF(E41="","",ABS(E41))</f>
        <v>1</v>
      </c>
      <c r="H41" s="43" t="n">
        <v>5</v>
      </c>
      <c r="I41" s="44" t="n">
        <f aca="false">(5-1)^2/16</f>
        <v>1</v>
      </c>
      <c r="J41" s="44" t="n">
        <f aca="false">(5-2)^2/16</f>
        <v>0.5625</v>
      </c>
      <c r="K41" s="44" t="n">
        <f aca="false">(5-3)^2/16</f>
        <v>0.25</v>
      </c>
      <c r="L41" s="44" t="n">
        <f aca="false">(5-4)^2/16</f>
        <v>0.0625</v>
      </c>
      <c r="M41" s="44" t="n">
        <f aca="false">(5-5)^2/16</f>
        <v>0</v>
      </c>
    </row>
    <row r="42" customFormat="false" ht="15" hidden="false" customHeight="false" outlineLevel="0" collapsed="false">
      <c r="A42" s="17" t="s">
        <v>165</v>
      </c>
      <c r="B42" s="17" t="s">
        <v>61</v>
      </c>
      <c r="C42" s="20" t="n">
        <f aca="false">IFERROR(IF(INDEX(Clip_Log!$F$5:$F$104,MATCH(A42,Clip_Log!$A$5:$A$104,0))="","",INDEX(Clip_Log!$F$5:$F$104,MATCH(A42,Clip_Log!$A$5:$A$104,0))),"")</f>
        <v>3</v>
      </c>
      <c r="D42" s="30" t="n">
        <v>2</v>
      </c>
      <c r="E42" s="20" t="n">
        <f aca="false">IF(OR(C42="",D42=""),"",D42-C42)</f>
        <v>-1</v>
      </c>
      <c r="F42" s="20" t="str">
        <f aca="false">IF(E42="","",IF(E42=0,"Exact",IF(ABS(E42)=1,"Within 1","Off by 2+")))</f>
        <v>Within 1</v>
      </c>
      <c r="G42" s="20" t="n">
        <f aca="false">IF(E42="","",ABS(E42))</f>
        <v>1</v>
      </c>
    </row>
    <row r="43" customFormat="false" ht="15" hidden="false" customHeight="false" outlineLevel="0" collapsed="false">
      <c r="A43" s="17" t="s">
        <v>165</v>
      </c>
      <c r="B43" s="17" t="s">
        <v>63</v>
      </c>
      <c r="C43" s="20" t="n">
        <f aca="false">IFERROR(IF(INDEX(Clip_Log!$G$5:$G$104,MATCH(A43,Clip_Log!$A$5:$A$104,0))="","",INDEX(Clip_Log!$G$5:$G$104,MATCH(A43,Clip_Log!$A$5:$A$104,0))),"")</f>
        <v>3</v>
      </c>
      <c r="D43" s="30" t="n">
        <v>3</v>
      </c>
      <c r="E43" s="20" t="n">
        <f aca="false">IF(OR(C43="",D43=""),"",D43-C43)</f>
        <v>0</v>
      </c>
      <c r="F43" s="20" t="str">
        <f aca="false">IF(E43="","",IF(E43=0,"Exact",IF(ABS(E43)=1,"Within 1","Off by 2+")))</f>
        <v>Exact</v>
      </c>
      <c r="G43" s="20" t="n">
        <f aca="false">IF(E43="","",ABS(E43))</f>
        <v>0</v>
      </c>
    </row>
    <row r="44" customFormat="false" ht="15" hidden="false" customHeight="false" outlineLevel="0" collapsed="false">
      <c r="A44" s="17" t="s">
        <v>165</v>
      </c>
      <c r="B44" s="17" t="s">
        <v>65</v>
      </c>
      <c r="C44" s="20" t="n">
        <f aca="false">IFERROR(IF(INDEX(Clip_Log!$H$5:$H$104,MATCH(A44,Clip_Log!$A$5:$A$104,0))="","",INDEX(Clip_Log!$H$5:$H$104,MATCH(A44,Clip_Log!$A$5:$A$104,0))),"")</f>
        <v>4</v>
      </c>
      <c r="D44" s="30" t="n">
        <v>3</v>
      </c>
      <c r="E44" s="20" t="n">
        <f aca="false">IF(OR(C44="",D44=""),"",D44-C44)</f>
        <v>-1</v>
      </c>
      <c r="F44" s="20" t="str">
        <f aca="false">IF(E44="","",IF(E44=0,"Exact",IF(ABS(E44)=1,"Within 1","Off by 2+")))</f>
        <v>Within 1</v>
      </c>
      <c r="G44" s="20" t="n">
        <f aca="false">IF(E44="","",ABS(E44))</f>
        <v>1</v>
      </c>
    </row>
    <row r="45" customFormat="false" ht="15" hidden="false" customHeight="false" outlineLevel="0" collapsed="false">
      <c r="A45" s="17" t="s">
        <v>165</v>
      </c>
      <c r="B45" s="17" t="s">
        <v>67</v>
      </c>
      <c r="C45" s="20" t="str">
        <f aca="false">IFERROR(IF(INDEX(Clip_Log!$I$5:$I$104,MATCH(A45,Clip_Log!$A$5:$A$104,0))="","",INDEX(Clip_Log!$I$5:$I$104,MATCH(A45,Clip_Log!$A$5:$A$104,0))),"")</f>
        <v/>
      </c>
      <c r="D45" s="30"/>
      <c r="E45" s="20" t="str">
        <f aca="false">IF(OR(C45="",D45=""),"",D45-C45)</f>
        <v/>
      </c>
      <c r="F45" s="20" t="str">
        <f aca="false">IF(E45="","",IF(E45=0,"Exact",IF(ABS(E45)=1,"Within 1","Off by 2+")))</f>
        <v/>
      </c>
      <c r="G45" s="20" t="str">
        <f aca="false">IF(E45="","",ABS(E45))</f>
        <v/>
      </c>
    </row>
    <row r="46" customFormat="false" ht="15" hidden="false" customHeight="false" outlineLevel="0" collapsed="false">
      <c r="A46" s="17" t="s">
        <v>165</v>
      </c>
      <c r="B46" s="17" t="s">
        <v>68</v>
      </c>
      <c r="C46" s="20" t="n">
        <f aca="false">IFERROR(IF(INDEX(Clip_Log!$J$5:$J$104,MATCH(A46,Clip_Log!$A$5:$A$104,0))="","",INDEX(Clip_Log!$J$5:$J$104,MATCH(A46,Clip_Log!$A$5:$A$104,0))),"")</f>
        <v>4</v>
      </c>
      <c r="D46" s="30" t="n">
        <v>4</v>
      </c>
      <c r="E46" s="20" t="n">
        <f aca="false">IF(OR(C46="",D46=""),"",D46-C46)</f>
        <v>0</v>
      </c>
      <c r="F46" s="20" t="str">
        <f aca="false">IF(E46="","",IF(E46=0,"Exact",IF(ABS(E46)=1,"Within 1","Off by 2+")))</f>
        <v>Exact</v>
      </c>
      <c r="G46" s="20" t="n">
        <f aca="false">IF(E46="","",ABS(E46))</f>
        <v>0</v>
      </c>
    </row>
    <row r="47" customFormat="false" ht="15" hidden="false" customHeight="false" outlineLevel="0" collapsed="false">
      <c r="A47" s="17" t="s">
        <v>173</v>
      </c>
      <c r="B47" s="17" t="s">
        <v>59</v>
      </c>
      <c r="C47" s="20" t="n">
        <f aca="false">IFERROR(IF(INDEX(Clip_Log!$E$5:$E$104,MATCH(A47,Clip_Log!$A$5:$A$104,0))="","",INDEX(Clip_Log!$E$5:$E$104,MATCH(A47,Clip_Log!$A$5:$A$104,0))),"")</f>
        <v>3</v>
      </c>
      <c r="D47" s="30" t="n">
        <v>3</v>
      </c>
      <c r="E47" s="20" t="n">
        <f aca="false">IF(OR(C47="",D47=""),"",D47-C47)</f>
        <v>0</v>
      </c>
      <c r="F47" s="20" t="str">
        <f aca="false">IF(E47="","",IF(E47=0,"Exact",IF(ABS(E47)=1,"Within 1","Off by 2+")))</f>
        <v>Exact</v>
      </c>
      <c r="G47" s="20" t="n">
        <f aca="false">IF(E47="","",ABS(E47))</f>
        <v>0</v>
      </c>
    </row>
    <row r="48" customFormat="false" ht="15" hidden="false" customHeight="false" outlineLevel="0" collapsed="false">
      <c r="A48" s="17" t="s">
        <v>173</v>
      </c>
      <c r="B48" s="17" t="s">
        <v>61</v>
      </c>
      <c r="C48" s="20" t="n">
        <f aca="false">IFERROR(IF(INDEX(Clip_Log!$F$5:$F$104,MATCH(A48,Clip_Log!$A$5:$A$104,0))="","",INDEX(Clip_Log!$F$5:$F$104,MATCH(A48,Clip_Log!$A$5:$A$104,0))),"")</f>
        <v>4</v>
      </c>
      <c r="D48" s="30" t="n">
        <v>4</v>
      </c>
      <c r="E48" s="20" t="n">
        <f aca="false">IF(OR(C48="",D48=""),"",D48-C48)</f>
        <v>0</v>
      </c>
      <c r="F48" s="20" t="str">
        <f aca="false">IF(E48="","",IF(E48=0,"Exact",IF(ABS(E48)=1,"Within 1","Off by 2+")))</f>
        <v>Exact</v>
      </c>
      <c r="G48" s="20" t="n">
        <f aca="false">IF(E48="","",ABS(E48))</f>
        <v>0</v>
      </c>
    </row>
    <row r="49" customFormat="false" ht="15" hidden="false" customHeight="false" outlineLevel="0" collapsed="false">
      <c r="A49" s="17" t="s">
        <v>173</v>
      </c>
      <c r="B49" s="17" t="s">
        <v>63</v>
      </c>
      <c r="C49" s="20" t="n">
        <f aca="false">IFERROR(IF(INDEX(Clip_Log!$G$5:$G$104,MATCH(A49,Clip_Log!$A$5:$A$104,0))="","",INDEX(Clip_Log!$G$5:$G$104,MATCH(A49,Clip_Log!$A$5:$A$104,0))),"")</f>
        <v>4</v>
      </c>
      <c r="D49" s="30" t="n">
        <v>4</v>
      </c>
      <c r="E49" s="20" t="n">
        <f aca="false">IF(OR(C49="",D49=""),"",D49-C49)</f>
        <v>0</v>
      </c>
      <c r="F49" s="20" t="str">
        <f aca="false">IF(E49="","",IF(E49=0,"Exact",IF(ABS(E49)=1,"Within 1","Off by 2+")))</f>
        <v>Exact</v>
      </c>
      <c r="G49" s="20" t="n">
        <f aca="false">IF(E49="","",ABS(E49))</f>
        <v>0</v>
      </c>
    </row>
    <row r="50" customFormat="false" ht="15" hidden="false" customHeight="false" outlineLevel="0" collapsed="false">
      <c r="A50" s="17" t="s">
        <v>173</v>
      </c>
      <c r="B50" s="17" t="s">
        <v>65</v>
      </c>
      <c r="C50" s="20" t="n">
        <f aca="false">IFERROR(IF(INDEX(Clip_Log!$H$5:$H$104,MATCH(A50,Clip_Log!$A$5:$A$104,0))="","",INDEX(Clip_Log!$H$5:$H$104,MATCH(A50,Clip_Log!$A$5:$A$104,0))),"")</f>
        <v>2</v>
      </c>
      <c r="D50" s="30" t="n">
        <v>1</v>
      </c>
      <c r="E50" s="20" t="n">
        <f aca="false">IF(OR(C50="",D50=""),"",D50-C50)</f>
        <v>-1</v>
      </c>
      <c r="F50" s="20" t="str">
        <f aca="false">IF(E50="","",IF(E50=0,"Exact",IF(ABS(E50)=1,"Within 1","Off by 2+")))</f>
        <v>Within 1</v>
      </c>
      <c r="G50" s="20" t="n">
        <f aca="false">IF(E50="","",ABS(E50))</f>
        <v>1</v>
      </c>
    </row>
    <row r="51" customFormat="false" ht="15" hidden="false" customHeight="false" outlineLevel="0" collapsed="false">
      <c r="A51" s="17" t="s">
        <v>173</v>
      </c>
      <c r="B51" s="17" t="s">
        <v>67</v>
      </c>
      <c r="C51" s="20" t="n">
        <f aca="false">IFERROR(IF(INDEX(Clip_Log!$I$5:$I$104,MATCH(A51,Clip_Log!$A$5:$A$104,0))="","",INDEX(Clip_Log!$I$5:$I$104,MATCH(A51,Clip_Log!$A$5:$A$104,0))),"")</f>
        <v>3</v>
      </c>
      <c r="D51" s="30" t="n">
        <v>2</v>
      </c>
      <c r="E51" s="20" t="n">
        <f aca="false">IF(OR(C51="",D51=""),"",D51-C51)</f>
        <v>-1</v>
      </c>
      <c r="F51" s="20" t="str">
        <f aca="false">IF(E51="","",IF(E51=0,"Exact",IF(ABS(E51)=1,"Within 1","Off by 2+")))</f>
        <v>Within 1</v>
      </c>
      <c r="G51" s="20" t="n">
        <f aca="false">IF(E51="","",ABS(E51))</f>
        <v>1</v>
      </c>
    </row>
    <row r="52" customFormat="false" ht="15" hidden="false" customHeight="false" outlineLevel="0" collapsed="false">
      <c r="A52" s="17" t="s">
        <v>173</v>
      </c>
      <c r="B52" s="17" t="s">
        <v>68</v>
      </c>
      <c r="C52" s="20" t="n">
        <f aca="false">IFERROR(IF(INDEX(Clip_Log!$J$5:$J$104,MATCH(A52,Clip_Log!$A$5:$A$104,0))="","",INDEX(Clip_Log!$J$5:$J$104,MATCH(A52,Clip_Log!$A$5:$A$104,0))),"")</f>
        <v>3</v>
      </c>
      <c r="D52" s="30" t="n">
        <v>2</v>
      </c>
      <c r="E52" s="20" t="n">
        <f aca="false">IF(OR(C52="",D52=""),"",D52-C52)</f>
        <v>-1</v>
      </c>
      <c r="F52" s="20" t="str">
        <f aca="false">IF(E52="","",IF(E52=0,"Exact",IF(ABS(E52)=1,"Within 1","Off by 2+")))</f>
        <v>Within 1</v>
      </c>
      <c r="G52" s="20" t="n">
        <f aca="false">IF(E52="","",ABS(E52))</f>
        <v>1</v>
      </c>
    </row>
    <row r="53" customFormat="false" ht="15" hidden="false" customHeight="false" outlineLevel="0" collapsed="false">
      <c r="A53" s="17" t="s">
        <v>180</v>
      </c>
      <c r="B53" s="17" t="s">
        <v>59</v>
      </c>
      <c r="C53" s="20" t="n">
        <f aca="false">IFERROR(IF(INDEX(Clip_Log!$E$5:$E$104,MATCH(A53,Clip_Log!$A$5:$A$104,0))="","",INDEX(Clip_Log!$E$5:$E$104,MATCH(A53,Clip_Log!$A$5:$A$104,0))),"")</f>
        <v>3</v>
      </c>
      <c r="D53" s="30" t="n">
        <v>4</v>
      </c>
      <c r="E53" s="20" t="n">
        <f aca="false">IF(OR(C53="",D53=""),"",D53-C53)</f>
        <v>1</v>
      </c>
      <c r="F53" s="20" t="str">
        <f aca="false">IF(E53="","",IF(E53=0,"Exact",IF(ABS(E53)=1,"Within 1","Off by 2+")))</f>
        <v>Within 1</v>
      </c>
      <c r="G53" s="20" t="n">
        <f aca="false">IF(E53="","",ABS(E53))</f>
        <v>1</v>
      </c>
    </row>
    <row r="54" customFormat="false" ht="15" hidden="false" customHeight="false" outlineLevel="0" collapsed="false">
      <c r="A54" s="17" t="s">
        <v>180</v>
      </c>
      <c r="B54" s="17" t="s">
        <v>61</v>
      </c>
      <c r="C54" s="20" t="n">
        <f aca="false">IFERROR(IF(INDEX(Clip_Log!$F$5:$F$104,MATCH(A54,Clip_Log!$A$5:$A$104,0))="","",INDEX(Clip_Log!$F$5:$F$104,MATCH(A54,Clip_Log!$A$5:$A$104,0))),"")</f>
        <v>4</v>
      </c>
      <c r="D54" s="30" t="n">
        <v>4</v>
      </c>
      <c r="E54" s="20" t="n">
        <f aca="false">IF(OR(C54="",D54=""),"",D54-C54)</f>
        <v>0</v>
      </c>
      <c r="F54" s="20" t="str">
        <f aca="false">IF(E54="","",IF(E54=0,"Exact",IF(ABS(E54)=1,"Within 1","Off by 2+")))</f>
        <v>Exact</v>
      </c>
      <c r="G54" s="20" t="n">
        <f aca="false">IF(E54="","",ABS(E54))</f>
        <v>0</v>
      </c>
    </row>
    <row r="55" customFormat="false" ht="15" hidden="false" customHeight="false" outlineLevel="0" collapsed="false">
      <c r="A55" s="17" t="s">
        <v>180</v>
      </c>
      <c r="B55" s="17" t="s">
        <v>63</v>
      </c>
      <c r="C55" s="20" t="n">
        <f aca="false">IFERROR(IF(INDEX(Clip_Log!$G$5:$G$104,MATCH(A55,Clip_Log!$A$5:$A$104,0))="","",INDEX(Clip_Log!$G$5:$G$104,MATCH(A55,Clip_Log!$A$5:$A$104,0))),"")</f>
        <v>4</v>
      </c>
      <c r="D55" s="30" t="n">
        <v>5</v>
      </c>
      <c r="E55" s="20" t="n">
        <f aca="false">IF(OR(C55="",D55=""),"",D55-C55)</f>
        <v>1</v>
      </c>
      <c r="F55" s="20" t="str">
        <f aca="false">IF(E55="","",IF(E55=0,"Exact",IF(ABS(E55)=1,"Within 1","Off by 2+")))</f>
        <v>Within 1</v>
      </c>
      <c r="G55" s="20" t="n">
        <f aca="false">IF(E55="","",ABS(E55))</f>
        <v>1</v>
      </c>
    </row>
    <row r="56" customFormat="false" ht="15" hidden="false" customHeight="false" outlineLevel="0" collapsed="false">
      <c r="A56" s="17" t="s">
        <v>180</v>
      </c>
      <c r="B56" s="17" t="s">
        <v>65</v>
      </c>
      <c r="C56" s="20" t="n">
        <f aca="false">IFERROR(IF(INDEX(Clip_Log!$H$5:$H$104,MATCH(A56,Clip_Log!$A$5:$A$104,0))="","",INDEX(Clip_Log!$H$5:$H$104,MATCH(A56,Clip_Log!$A$5:$A$104,0))),"")</f>
        <v>3</v>
      </c>
      <c r="D56" s="30" t="n">
        <v>2</v>
      </c>
      <c r="E56" s="20" t="n">
        <f aca="false">IF(OR(C56="",D56=""),"",D56-C56)</f>
        <v>-1</v>
      </c>
      <c r="F56" s="20" t="str">
        <f aca="false">IF(E56="","",IF(E56=0,"Exact",IF(ABS(E56)=1,"Within 1","Off by 2+")))</f>
        <v>Within 1</v>
      </c>
      <c r="G56" s="20" t="n">
        <f aca="false">IF(E56="","",ABS(E56))</f>
        <v>1</v>
      </c>
    </row>
    <row r="57" customFormat="false" ht="15" hidden="false" customHeight="false" outlineLevel="0" collapsed="false">
      <c r="A57" s="17" t="s">
        <v>180</v>
      </c>
      <c r="B57" s="17" t="s">
        <v>67</v>
      </c>
      <c r="C57" s="20" t="str">
        <f aca="false">IFERROR(IF(INDEX(Clip_Log!$I$5:$I$104,MATCH(A57,Clip_Log!$A$5:$A$104,0))="","",INDEX(Clip_Log!$I$5:$I$104,MATCH(A57,Clip_Log!$A$5:$A$104,0))),"")</f>
        <v/>
      </c>
      <c r="D57" s="30"/>
      <c r="E57" s="20" t="str">
        <f aca="false">IF(OR(C57="",D57=""),"",D57-C57)</f>
        <v/>
      </c>
      <c r="F57" s="20" t="str">
        <f aca="false">IF(E57="","",IF(E57=0,"Exact",IF(ABS(E57)=1,"Within 1","Off by 2+")))</f>
        <v/>
      </c>
      <c r="G57" s="20" t="str">
        <f aca="false">IF(E57="","",ABS(E57))</f>
        <v/>
      </c>
    </row>
    <row r="58" customFormat="false" ht="15" hidden="false" customHeight="false" outlineLevel="0" collapsed="false">
      <c r="A58" s="17" t="s">
        <v>180</v>
      </c>
      <c r="B58" s="17" t="s">
        <v>68</v>
      </c>
      <c r="C58" s="20" t="n">
        <f aca="false">IFERROR(IF(INDEX(Clip_Log!$J$5:$J$104,MATCH(A58,Clip_Log!$A$5:$A$104,0))="","",INDEX(Clip_Log!$J$5:$J$104,MATCH(A58,Clip_Log!$A$5:$A$104,0))),"")</f>
        <v>4</v>
      </c>
      <c r="D58" s="30" t="n">
        <v>4</v>
      </c>
      <c r="E58" s="20" t="n">
        <f aca="false">IF(OR(C58="",D58=""),"",D58-C58)</f>
        <v>0</v>
      </c>
      <c r="F58" s="20" t="str">
        <f aca="false">IF(E58="","",IF(E58=0,"Exact",IF(ABS(E58)=1,"Within 1","Off by 2+")))</f>
        <v>Exact</v>
      </c>
      <c r="G58" s="20" t="n">
        <f aca="false">IF(E58="","",ABS(E58))</f>
        <v>0</v>
      </c>
    </row>
    <row r="59" customFormat="false" ht="15" hidden="false" customHeight="false" outlineLevel="0" collapsed="false">
      <c r="A59" s="17" t="s">
        <v>190</v>
      </c>
      <c r="B59" s="17" t="s">
        <v>59</v>
      </c>
      <c r="C59" s="20" t="n">
        <f aca="false">IFERROR(IF(INDEX(Clip_Log!$E$5:$E$104,MATCH(A59,Clip_Log!$A$5:$A$104,0))="","",INDEX(Clip_Log!$E$5:$E$104,MATCH(A59,Clip_Log!$A$5:$A$104,0))),"")</f>
        <v>3</v>
      </c>
      <c r="D59" s="30" t="n">
        <v>2</v>
      </c>
      <c r="E59" s="20" t="n">
        <f aca="false">IF(OR(C59="",D59=""),"",D59-C59)</f>
        <v>-1</v>
      </c>
      <c r="F59" s="20" t="str">
        <f aca="false">IF(E59="","",IF(E59=0,"Exact",IF(ABS(E59)=1,"Within 1","Off by 2+")))</f>
        <v>Within 1</v>
      </c>
      <c r="G59" s="20" t="n">
        <f aca="false">IF(E59="","",ABS(E59))</f>
        <v>1</v>
      </c>
    </row>
    <row r="60" customFormat="false" ht="15" hidden="false" customHeight="false" outlineLevel="0" collapsed="false">
      <c r="A60" s="17" t="s">
        <v>190</v>
      </c>
      <c r="B60" s="17" t="s">
        <v>61</v>
      </c>
      <c r="C60" s="20" t="n">
        <f aca="false">IFERROR(IF(INDEX(Clip_Log!$F$5:$F$104,MATCH(A60,Clip_Log!$A$5:$A$104,0))="","",INDEX(Clip_Log!$F$5:$F$104,MATCH(A60,Clip_Log!$A$5:$A$104,0))),"")</f>
        <v>3</v>
      </c>
      <c r="D60" s="30" t="n">
        <v>3</v>
      </c>
      <c r="E60" s="20" t="n">
        <f aca="false">IF(OR(C60="",D60=""),"",D60-C60)</f>
        <v>0</v>
      </c>
      <c r="F60" s="20" t="str">
        <f aca="false">IF(E60="","",IF(E60=0,"Exact",IF(ABS(E60)=1,"Within 1","Off by 2+")))</f>
        <v>Exact</v>
      </c>
      <c r="G60" s="20" t="n">
        <f aca="false">IF(E60="","",ABS(E60))</f>
        <v>0</v>
      </c>
    </row>
    <row r="61" customFormat="false" ht="15" hidden="false" customHeight="false" outlineLevel="0" collapsed="false">
      <c r="A61" s="17" t="s">
        <v>190</v>
      </c>
      <c r="B61" s="17" t="s">
        <v>63</v>
      </c>
      <c r="C61" s="20" t="n">
        <f aca="false">IFERROR(IF(INDEX(Clip_Log!$G$5:$G$104,MATCH(A61,Clip_Log!$A$5:$A$104,0))="","",INDEX(Clip_Log!$G$5:$G$104,MATCH(A61,Clip_Log!$A$5:$A$104,0))),"")</f>
        <v>3</v>
      </c>
      <c r="D61" s="30" t="n">
        <v>4</v>
      </c>
      <c r="E61" s="20" t="n">
        <f aca="false">IF(OR(C61="",D61=""),"",D61-C61)</f>
        <v>1</v>
      </c>
      <c r="F61" s="20" t="str">
        <f aca="false">IF(E61="","",IF(E61=0,"Exact",IF(ABS(E61)=1,"Within 1","Off by 2+")))</f>
        <v>Within 1</v>
      </c>
      <c r="G61" s="20" t="n">
        <f aca="false">IF(E61="","",ABS(E61))</f>
        <v>1</v>
      </c>
    </row>
    <row r="62" customFormat="false" ht="15" hidden="false" customHeight="false" outlineLevel="0" collapsed="false">
      <c r="A62" s="17" t="s">
        <v>190</v>
      </c>
      <c r="B62" s="17" t="s">
        <v>65</v>
      </c>
      <c r="C62" s="20" t="n">
        <f aca="false">IFERROR(IF(INDEX(Clip_Log!$H$5:$H$104,MATCH(A62,Clip_Log!$A$5:$A$104,0))="","",INDEX(Clip_Log!$H$5:$H$104,MATCH(A62,Clip_Log!$A$5:$A$104,0))),"")</f>
        <v>3</v>
      </c>
      <c r="D62" s="30" t="n">
        <v>3</v>
      </c>
      <c r="E62" s="20" t="n">
        <f aca="false">IF(OR(C62="",D62=""),"",D62-C62)</f>
        <v>0</v>
      </c>
      <c r="F62" s="20" t="str">
        <f aca="false">IF(E62="","",IF(E62=0,"Exact",IF(ABS(E62)=1,"Within 1","Off by 2+")))</f>
        <v>Exact</v>
      </c>
      <c r="G62" s="20" t="n">
        <f aca="false">IF(E62="","",ABS(E62))</f>
        <v>0</v>
      </c>
    </row>
    <row r="63" customFormat="false" ht="15" hidden="false" customHeight="false" outlineLevel="0" collapsed="false">
      <c r="A63" s="17" t="s">
        <v>190</v>
      </c>
      <c r="B63" s="17" t="s">
        <v>67</v>
      </c>
      <c r="C63" s="20" t="n">
        <f aca="false">IFERROR(IF(INDEX(Clip_Log!$I$5:$I$104,MATCH(A63,Clip_Log!$A$5:$A$104,0))="","",INDEX(Clip_Log!$I$5:$I$104,MATCH(A63,Clip_Log!$A$5:$A$104,0))),"")</f>
        <v>3</v>
      </c>
      <c r="D63" s="30" t="n">
        <v>3</v>
      </c>
      <c r="E63" s="20" t="n">
        <f aca="false">IF(OR(C63="",D63=""),"",D63-C63)</f>
        <v>0</v>
      </c>
      <c r="F63" s="20" t="str">
        <f aca="false">IF(E63="","",IF(E63=0,"Exact",IF(ABS(E63)=1,"Within 1","Off by 2+")))</f>
        <v>Exact</v>
      </c>
      <c r="G63" s="20" t="n">
        <f aca="false">IF(E63="","",ABS(E63))</f>
        <v>0</v>
      </c>
    </row>
    <row r="64" customFormat="false" ht="15" hidden="false" customHeight="false" outlineLevel="0" collapsed="false">
      <c r="A64" s="17" t="s">
        <v>190</v>
      </c>
      <c r="B64" s="17" t="s">
        <v>68</v>
      </c>
      <c r="C64" s="20" t="n">
        <f aca="false">IFERROR(IF(INDEX(Clip_Log!$J$5:$J$104,MATCH(A64,Clip_Log!$A$5:$A$104,0))="","",INDEX(Clip_Log!$J$5:$J$104,MATCH(A64,Clip_Log!$A$5:$A$104,0))),"")</f>
        <v>3</v>
      </c>
      <c r="D64" s="30" t="n">
        <v>3</v>
      </c>
      <c r="E64" s="20" t="n">
        <f aca="false">IF(OR(C64="",D64=""),"",D64-C64)</f>
        <v>0</v>
      </c>
      <c r="F64" s="20" t="str">
        <f aca="false">IF(E64="","",IF(E64=0,"Exact",IF(ABS(E64)=1,"Within 1","Off by 2+")))</f>
        <v>Exact</v>
      </c>
      <c r="G64" s="20" t="n">
        <f aca="false">IF(E64="","",ABS(E64))</f>
        <v>0</v>
      </c>
    </row>
  </sheetData>
  <conditionalFormatting sqref="F5:F64">
    <cfRule type="cellIs" priority="2" operator="equal" aboveAverage="0" equalAverage="0" bottom="0" percent="0" rank="0" text="" dxfId="1">
      <formula>"Exact"</formula>
    </cfRule>
    <cfRule type="cellIs" priority="3" operator="equal" aboveAverage="0" equalAverage="0" bottom="0" percent="0" rank="0" text="" dxfId="2">
      <formula>"Within 1"</formula>
    </cfRule>
    <cfRule type="cellIs" priority="4" operator="equal" aboveAverage="0" equalAverage="0" bottom="0" percent="0" rank="0" text="" dxfId="3">
      <formula>"Off by 2+"</formula>
    </cfRule>
  </conditionalFormatting>
  <conditionalFormatting sqref="I14:I19">
    <cfRule type="cellIs" priority="5" operator="lessThan" aboveAverage="0" equalAverage="0" bottom="0" percent="0" rank="0" text="" dxfId="0">
      <formula>-0.25</formula>
    </cfRule>
    <cfRule type="cellIs" priority="6" operator="greaterThan" aboveAverage="0" equalAverage="0" bottom="0" percent="0" rank="0" text="" dxfId="0">
      <formula>0.25</formula>
    </cfRule>
  </conditionalFormatting>
  <dataValidations count="1">
    <dataValidation allowBlank="true" errorStyle="stop" operator="between" showDropDown="false" showErrorMessage="false" showInputMessage="false" sqref="D5:D64" type="list">
      <formula1>Lists!$F$5:$F$9</formula1>
      <formula2>0</formula2>
    </dataValidation>
  </dataValidations>
  <printOptions headings="false" gridLines="false" gridLinesSet="true" horizontalCentered="true" verticalCentered="false"/>
  <pageMargins left="0.4" right="0.4" top="0.5" bottom="0.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9D3DF"/>
    <pageSetUpPr fitToPage="true"/>
  </sheetPr>
  <dimension ref="A1:F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60"/>
    <col collapsed="false" customWidth="true" hidden="false" outlineLevel="0" max="4" min="4" style="0" width="12"/>
    <col collapsed="false" customWidth="true" hidden="false" outlineLevel="0" max="6" min="5" style="0" width="8"/>
  </cols>
  <sheetData>
    <row r="1" customFormat="false" ht="19.7" hidden="false" customHeight="false" outlineLevel="0" collapsed="false">
      <c r="A1" s="9" t="s">
        <v>34</v>
      </c>
    </row>
    <row r="4" customFormat="false" ht="30" hidden="false" customHeight="true" outlineLevel="0" collapsed="false">
      <c r="A4" s="16" t="s">
        <v>70</v>
      </c>
      <c r="B4" s="16" t="s">
        <v>71</v>
      </c>
      <c r="C4" s="16"/>
      <c r="D4" s="16" t="s">
        <v>128</v>
      </c>
      <c r="E4" s="16" t="s">
        <v>221</v>
      </c>
      <c r="F4" s="16" t="s">
        <v>222</v>
      </c>
    </row>
    <row r="5" customFormat="false" ht="15" hidden="false" customHeight="false" outlineLevel="0" collapsed="false">
      <c r="A5" s="17" t="s">
        <v>102</v>
      </c>
      <c r="B5" s="17" t="s">
        <v>103</v>
      </c>
      <c r="C5" s="17"/>
      <c r="D5" s="17" t="s">
        <v>55</v>
      </c>
      <c r="E5" s="17" t="s">
        <v>141</v>
      </c>
      <c r="F5" s="17" t="n">
        <v>1</v>
      </c>
    </row>
    <row r="6" customFormat="false" ht="15" hidden="false" customHeight="false" outlineLevel="0" collapsed="false">
      <c r="A6" s="17" t="s">
        <v>104</v>
      </c>
      <c r="B6" s="17" t="s">
        <v>105</v>
      </c>
      <c r="C6" s="17"/>
      <c r="D6" s="17" t="s">
        <v>56</v>
      </c>
      <c r="E6" s="17" t="s">
        <v>142</v>
      </c>
      <c r="F6" s="17" t="n">
        <v>2</v>
      </c>
    </row>
    <row r="7" customFormat="false" ht="15" hidden="false" customHeight="false" outlineLevel="0" collapsed="false">
      <c r="A7" s="17" t="s">
        <v>106</v>
      </c>
      <c r="B7" s="17" t="s">
        <v>107</v>
      </c>
      <c r="C7" s="17"/>
      <c r="D7" s="17"/>
      <c r="E7" s="17"/>
      <c r="F7" s="17" t="n">
        <v>3</v>
      </c>
    </row>
    <row r="8" customFormat="false" ht="15" hidden="false" customHeight="false" outlineLevel="0" collapsed="false">
      <c r="A8" s="17" t="s">
        <v>108</v>
      </c>
      <c r="B8" s="17" t="s">
        <v>109</v>
      </c>
      <c r="C8" s="17"/>
      <c r="D8" s="17"/>
      <c r="E8" s="17"/>
      <c r="F8" s="17" t="n">
        <v>4</v>
      </c>
    </row>
    <row r="9" customFormat="false" ht="15" hidden="false" customHeight="false" outlineLevel="0" collapsed="false">
      <c r="A9" s="17" t="s">
        <v>110</v>
      </c>
      <c r="B9" s="17" t="s">
        <v>111</v>
      </c>
      <c r="C9" s="17"/>
      <c r="D9" s="17"/>
      <c r="E9" s="17"/>
      <c r="F9" s="17" t="n">
        <v>5</v>
      </c>
    </row>
    <row r="10" customFormat="false" ht="15" hidden="false" customHeight="false" outlineLevel="0" collapsed="false">
      <c r="A10" s="17" t="s">
        <v>112</v>
      </c>
      <c r="B10" s="17" t="s">
        <v>113</v>
      </c>
      <c r="C10" s="17"/>
      <c r="D10" s="17"/>
      <c r="E10" s="17"/>
      <c r="F10" s="17"/>
    </row>
    <row r="11" customFormat="false" ht="15" hidden="false" customHeight="false" outlineLevel="0" collapsed="false">
      <c r="A11" s="17" t="s">
        <v>114</v>
      </c>
      <c r="B11" s="17" t="s">
        <v>115</v>
      </c>
      <c r="C11" s="17"/>
      <c r="D11" s="17"/>
      <c r="E11" s="17"/>
      <c r="F11" s="17"/>
    </row>
    <row r="12" customFormat="false" ht="15" hidden="false" customHeight="false" outlineLevel="0" collapsed="false">
      <c r="A12" s="17" t="s">
        <v>116</v>
      </c>
      <c r="B12" s="17" t="s">
        <v>117</v>
      </c>
      <c r="C12" s="17"/>
      <c r="D12" s="17"/>
      <c r="E12" s="17"/>
      <c r="F12" s="17"/>
    </row>
    <row r="13" customFormat="false" ht="15" hidden="false" customHeight="false" outlineLevel="0" collapsed="false">
      <c r="A13" s="17" t="s">
        <v>118</v>
      </c>
      <c r="B13" s="17" t="s">
        <v>119</v>
      </c>
      <c r="C13" s="17"/>
      <c r="D13" s="17"/>
      <c r="E13" s="17"/>
      <c r="F13" s="17"/>
    </row>
    <row r="14" customFormat="false" ht="15" hidden="false" customHeight="false" outlineLevel="0" collapsed="false">
      <c r="A14" s="17" t="s">
        <v>120</v>
      </c>
      <c r="B14" s="17" t="s">
        <v>121</v>
      </c>
      <c r="C14" s="17"/>
      <c r="D14" s="17"/>
      <c r="E14" s="17"/>
      <c r="F14" s="17"/>
    </row>
    <row r="15" customFormat="false" ht="15" hidden="false" customHeight="false" outlineLevel="0" collapsed="false">
      <c r="A15" s="17" t="s">
        <v>122</v>
      </c>
      <c r="B15" s="17" t="s">
        <v>123</v>
      </c>
      <c r="C15" s="17"/>
      <c r="D15" s="17"/>
      <c r="E15" s="17"/>
      <c r="F15" s="17"/>
    </row>
    <row r="16" customFormat="false" ht="15" hidden="false" customHeight="false" outlineLevel="0" collapsed="false">
      <c r="A16" s="17" t="s">
        <v>124</v>
      </c>
      <c r="B16" s="17" t="s">
        <v>125</v>
      </c>
      <c r="C16" s="17"/>
      <c r="D16" s="17"/>
      <c r="E16" s="17"/>
      <c r="F16" s="17"/>
    </row>
  </sheetData>
  <printOptions headings="false" gridLines="false" gridLinesSet="true" horizontalCentered="true" verticalCentered="false"/>
  <pageMargins left="0.4" right="0.4" top="0.5" bottom="0.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2026-10-01T16:59:11Z</dcterms:created>
  <dc:creator>openpyxl</dc:creator>
  <dc:description/>
  <dc:language>en-US</dc:language>
  <cp:lastModifiedBy/>
  <dcterms:modified xsi:type="dcterms:W3CDTF">2026-10-01T12:59:12Z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